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agruban\Downloads\"/>
    </mc:Choice>
  </mc:AlternateContent>
  <xr:revisionPtr revIDLastSave="0" documentId="13_ncr:1_{75142D91-2091-4309-9DA6-FD832C43F685}" xr6:coauthVersionLast="47" xr6:coauthVersionMax="47" xr10:uidLastSave="{00000000-0000-0000-0000-000000000000}"/>
  <bookViews>
    <workbookView xWindow="-110" yWindow="-110" windowWidth="19420" windowHeight="10420" tabRatio="686" xr2:uid="{00000000-000D-0000-FFFF-FFFF00000000}"/>
  </bookViews>
  <sheets>
    <sheet name="Janvier" sheetId="4" r:id="rId1"/>
    <sheet name="Février" sheetId="5" r:id="rId2"/>
    <sheet name="Mars" sheetId="17" r:id="rId3"/>
    <sheet name="Avril" sheetId="18" r:id="rId4"/>
    <sheet name="Mai" sheetId="19" r:id="rId5"/>
    <sheet name="Juin" sheetId="20" r:id="rId6"/>
    <sheet name="Juillet" sheetId="21" r:id="rId7"/>
    <sheet name="Août" sheetId="22" r:id="rId8"/>
    <sheet name="Septembre" sheetId="23" r:id="rId9"/>
    <sheet name="Octobre" sheetId="24" r:id="rId10"/>
    <sheet name="Novembre" sheetId="25" r:id="rId11"/>
    <sheet name="Décembre" sheetId="15" r:id="rId12"/>
    <sheet name="Noms des employés" sheetId="16" r:id="rId13"/>
  </sheets>
  <definedNames>
    <definedName name="AnnéeCalendrier">Janvier!$AH$4</definedName>
    <definedName name="CléCongé">Janvier!$C$2</definedName>
    <definedName name="CléMaladie">Janvier!$J$2</definedName>
    <definedName name="CléPersonnalisée1">Janvier!$M$2</definedName>
    <definedName name="CléPersonnalisée2">Janvier!$R$2</definedName>
    <definedName name="CléPersonnel">Janvier!$F$2</definedName>
    <definedName name="ÉtiquetteCléCongé">Janvier!$D$2</definedName>
    <definedName name="ÉtiquetteCléMaladie">Janvier!$K$2</definedName>
    <definedName name="ÉtiquetteCléPersonnalisée1">Janvier!$N$2</definedName>
    <definedName name="ÉtiquetteCléPersonnalisée2">Janvier!$S$2</definedName>
    <definedName name="ÉtiquetteCléPersonnel">Janvier!$G$2</definedName>
    <definedName name="Nom_clé">Janvier!$B$2</definedName>
    <definedName name="NomMois" localSheetId="7">Août!$B$4</definedName>
    <definedName name="NomMois" localSheetId="3">Avril!$B$4</definedName>
    <definedName name="NomMois" localSheetId="11">Décembre!$B$4</definedName>
    <definedName name="NomMois" localSheetId="1">Février!$B$4</definedName>
    <definedName name="NomMois" localSheetId="0">Janvier!$B$4</definedName>
    <definedName name="NomMois" localSheetId="6">Juillet!$B$4</definedName>
    <definedName name="NomMois" localSheetId="5">Juin!$B$4</definedName>
    <definedName name="NomMois" localSheetId="4">Mai!$B$4</definedName>
    <definedName name="NomMois" localSheetId="2">Mars!$B$4</definedName>
    <definedName name="NomMois" localSheetId="10">Novembre!$B$4</definedName>
    <definedName name="NomMois" localSheetId="9">Octobre!$B$4</definedName>
    <definedName name="NomMois" localSheetId="8">Septembre!$B$4</definedName>
    <definedName name="_xlnm.Print_Titles" localSheetId="7">Août!$4:$6</definedName>
    <definedName name="_xlnm.Print_Titles" localSheetId="3">Avril!$4:$6</definedName>
    <definedName name="_xlnm.Print_Titles" localSheetId="11">Décembre!$4:$6</definedName>
    <definedName name="_xlnm.Print_Titles" localSheetId="1">Février!$4:$6</definedName>
    <definedName name="_xlnm.Print_Titles" localSheetId="0">Janvier!$4:$6</definedName>
    <definedName name="_xlnm.Print_Titles" localSheetId="6">Juillet!$4:$6</definedName>
    <definedName name="_xlnm.Print_Titles" localSheetId="5">Juin!$4:$6</definedName>
    <definedName name="_xlnm.Print_Titles" localSheetId="4">Mai!$4:$6</definedName>
    <definedName name="_xlnm.Print_Titles" localSheetId="2">Mars!$4:$6</definedName>
    <definedName name="_xlnm.Print_Titles" localSheetId="10">Novembre!$4:$6</definedName>
    <definedName name="_xlnm.Print_Titles" localSheetId="9">Octobre!$4:$6</definedName>
    <definedName name="_xlnm.Print_Titles" localSheetId="8">Septembre!$4:$6</definedName>
    <definedName name="Titre_Absence_Employé">Janvier!$B$1</definedName>
    <definedName name="Titre1">Janvier[[#Headers],[Nom de l’employé]]</definedName>
    <definedName name="Titre10">Octobre[[#Headers],[Nom de l’employé]]</definedName>
    <definedName name="Titre11">Novembre[[#Headers],[Nom de l’employé]]</definedName>
    <definedName name="Titre12">Décembre[[#Headers],[Nom de l’employé]]</definedName>
    <definedName name="Titre2">Février[[#Headers],[Nom de l’employé]]</definedName>
    <definedName name="Titre3">Mars[[#Headers],[Nom de l’employé]]</definedName>
    <definedName name="Titre4">Avril[[#Headers],[Nom de l’employé]]</definedName>
    <definedName name="Titre5">Mai[[#Headers],[Nom de l’employé]]</definedName>
    <definedName name="Titre6">Juin[[#Headers],[Nom de l’employé]]</definedName>
    <definedName name="Titre7">Juillet[[#Headers],[Nom de l’employé]]</definedName>
    <definedName name="Titre8">Août[[#Headers],[Nom de l’employé]]</definedName>
    <definedName name="Titre9">Septembre[[#Headers],[Nom de l’employé]]</definedName>
    <definedName name="TitreColonne13">NomEmployé[[#Headers],[Noms des employés]]</definedName>
  </definedNames>
  <calcPr calcId="191029"/>
</workbook>
</file>

<file path=xl/calcChain.xml><?xml version="1.0" encoding="utf-8"?>
<calcChain xmlns="http://schemas.openxmlformats.org/spreadsheetml/2006/main">
  <c r="AE5" i="5" l="1"/>
  <c r="AD5" i="5"/>
  <c r="AC5" i="5"/>
  <c r="AB5" i="5"/>
  <c r="AA5" i="5"/>
  <c r="Z5" i="5"/>
  <c r="Y5" i="5"/>
  <c r="X5" i="5"/>
  <c r="W5" i="5"/>
  <c r="V5" i="5"/>
  <c r="U5" i="5"/>
  <c r="T5" i="5"/>
  <c r="S5" i="5"/>
  <c r="R5" i="5"/>
  <c r="Q5" i="5"/>
  <c r="P5" i="5"/>
  <c r="O5" i="5"/>
  <c r="N5" i="5"/>
  <c r="M5" i="5"/>
  <c r="L5" i="5"/>
  <c r="K5" i="5"/>
  <c r="J5" i="5"/>
  <c r="I5" i="5"/>
  <c r="H5" i="5"/>
  <c r="G5" i="5"/>
  <c r="F5" i="5"/>
  <c r="E5" i="5"/>
  <c r="D5" i="5"/>
  <c r="C5" i="5"/>
  <c r="AG5" i="17"/>
  <c r="AF5" i="17"/>
  <c r="AE5" i="17"/>
  <c r="AD5" i="17"/>
  <c r="AC5" i="17"/>
  <c r="AB5" i="17"/>
  <c r="AA5" i="17"/>
  <c r="Z5" i="17"/>
  <c r="Y5" i="17"/>
  <c r="X5" i="17"/>
  <c r="W5" i="17"/>
  <c r="V5" i="17"/>
  <c r="U5" i="17"/>
  <c r="T5" i="17"/>
  <c r="S5" i="17"/>
  <c r="R5" i="17"/>
  <c r="Q5" i="17"/>
  <c r="P5" i="17"/>
  <c r="O5" i="17"/>
  <c r="N5" i="17"/>
  <c r="M5" i="17"/>
  <c r="L5" i="17"/>
  <c r="K5" i="17"/>
  <c r="J5" i="17"/>
  <c r="I5" i="17"/>
  <c r="H5" i="17"/>
  <c r="G5" i="17"/>
  <c r="F5" i="17"/>
  <c r="E5" i="17"/>
  <c r="D5" i="17"/>
  <c r="C5" i="17"/>
  <c r="AF5" i="18"/>
  <c r="AE5" i="18"/>
  <c r="AD5" i="18"/>
  <c r="AC5" i="18"/>
  <c r="AB5" i="18"/>
  <c r="AA5" i="18"/>
  <c r="Z5" i="18"/>
  <c r="Y5" i="18"/>
  <c r="X5" i="18"/>
  <c r="W5" i="18"/>
  <c r="V5" i="18"/>
  <c r="U5" i="18"/>
  <c r="T5" i="18"/>
  <c r="S5" i="18"/>
  <c r="R5" i="18"/>
  <c r="Q5" i="18"/>
  <c r="P5" i="18"/>
  <c r="O5" i="18"/>
  <c r="N5" i="18"/>
  <c r="M5" i="18"/>
  <c r="L5" i="18"/>
  <c r="K5" i="18"/>
  <c r="J5" i="18"/>
  <c r="I5" i="18"/>
  <c r="H5" i="18"/>
  <c r="G5" i="18"/>
  <c r="F5" i="18"/>
  <c r="E5" i="18"/>
  <c r="D5" i="18"/>
  <c r="C5" i="18"/>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AF5" i="20"/>
  <c r="AE5" i="20"/>
  <c r="AD5" i="20"/>
  <c r="AC5" i="20"/>
  <c r="AB5" i="20"/>
  <c r="AA5" i="20"/>
  <c r="Z5" i="20"/>
  <c r="Y5" i="20"/>
  <c r="X5" i="20"/>
  <c r="W5" i="20"/>
  <c r="V5" i="20"/>
  <c r="U5" i="20"/>
  <c r="T5" i="20"/>
  <c r="S5" i="20"/>
  <c r="R5" i="20"/>
  <c r="Q5" i="20"/>
  <c r="P5" i="20"/>
  <c r="O5" i="20"/>
  <c r="N5" i="20"/>
  <c r="M5" i="20"/>
  <c r="L5" i="20"/>
  <c r="K5" i="20"/>
  <c r="J5" i="20"/>
  <c r="I5" i="20"/>
  <c r="H5" i="20"/>
  <c r="G5" i="20"/>
  <c r="F5" i="20"/>
  <c r="E5" i="20"/>
  <c r="D5" i="20"/>
  <c r="C5" i="20"/>
  <c r="AG5" i="21"/>
  <c r="AF5" i="21"/>
  <c r="AE5" i="21"/>
  <c r="AD5" i="21"/>
  <c r="AC5" i="21"/>
  <c r="AB5" i="21"/>
  <c r="AA5" i="21"/>
  <c r="Z5" i="21"/>
  <c r="Y5" i="21"/>
  <c r="X5" i="21"/>
  <c r="W5" i="21"/>
  <c r="V5" i="21"/>
  <c r="U5" i="21"/>
  <c r="T5" i="21"/>
  <c r="S5" i="21"/>
  <c r="R5" i="21"/>
  <c r="Q5" i="21"/>
  <c r="P5" i="21"/>
  <c r="O5" i="21"/>
  <c r="N5" i="21"/>
  <c r="M5" i="21"/>
  <c r="L5" i="21"/>
  <c r="K5" i="21"/>
  <c r="J5" i="21"/>
  <c r="I5" i="21"/>
  <c r="H5" i="21"/>
  <c r="G5" i="21"/>
  <c r="F5" i="21"/>
  <c r="E5" i="21"/>
  <c r="D5" i="21"/>
  <c r="C5" i="21"/>
  <c r="AG5" i="22"/>
  <c r="AF5" i="22"/>
  <c r="AE5" i="22"/>
  <c r="AD5" i="22"/>
  <c r="AC5" i="22"/>
  <c r="AB5" i="22"/>
  <c r="AA5" i="22"/>
  <c r="Z5" i="22"/>
  <c r="Y5" i="22"/>
  <c r="X5" i="22"/>
  <c r="W5" i="22"/>
  <c r="V5" i="22"/>
  <c r="U5" i="22"/>
  <c r="T5" i="22"/>
  <c r="S5" i="22"/>
  <c r="R5" i="22"/>
  <c r="Q5" i="22"/>
  <c r="P5" i="22"/>
  <c r="O5" i="22"/>
  <c r="N5" i="22"/>
  <c r="M5" i="22"/>
  <c r="L5" i="22"/>
  <c r="K5" i="22"/>
  <c r="J5" i="22"/>
  <c r="I5" i="22"/>
  <c r="H5" i="22"/>
  <c r="G5" i="22"/>
  <c r="F5" i="22"/>
  <c r="E5" i="22"/>
  <c r="D5" i="22"/>
  <c r="C5" i="22"/>
  <c r="AF5" i="23"/>
  <c r="AE5" i="23"/>
  <c r="AD5" i="23"/>
  <c r="AC5" i="23"/>
  <c r="AB5" i="23"/>
  <c r="AA5" i="23"/>
  <c r="Z5" i="23"/>
  <c r="Y5" i="23"/>
  <c r="X5" i="23"/>
  <c r="W5" i="23"/>
  <c r="V5" i="23"/>
  <c r="U5" i="23"/>
  <c r="T5" i="23"/>
  <c r="S5" i="23"/>
  <c r="R5" i="23"/>
  <c r="Q5" i="23"/>
  <c r="P5" i="23"/>
  <c r="O5" i="23"/>
  <c r="N5" i="23"/>
  <c r="M5" i="23"/>
  <c r="L5" i="23"/>
  <c r="K5" i="23"/>
  <c r="J5" i="23"/>
  <c r="I5" i="23"/>
  <c r="H5" i="23"/>
  <c r="G5" i="23"/>
  <c r="F5" i="23"/>
  <c r="E5" i="23"/>
  <c r="D5" i="23"/>
  <c r="C5" i="23"/>
  <c r="AG5" i="24"/>
  <c r="AF5" i="24"/>
  <c r="AE5" i="24"/>
  <c r="AD5" i="24"/>
  <c r="AC5" i="24"/>
  <c r="AB5" i="24"/>
  <c r="AA5" i="24"/>
  <c r="Z5" i="24"/>
  <c r="Y5" i="24"/>
  <c r="X5" i="24"/>
  <c r="W5" i="24"/>
  <c r="V5" i="24"/>
  <c r="U5" i="24"/>
  <c r="T5" i="24"/>
  <c r="S5" i="24"/>
  <c r="R5" i="24"/>
  <c r="Q5" i="24"/>
  <c r="P5" i="24"/>
  <c r="O5" i="24"/>
  <c r="N5" i="24"/>
  <c r="M5" i="24"/>
  <c r="L5" i="24"/>
  <c r="K5" i="24"/>
  <c r="J5" i="24"/>
  <c r="I5" i="24"/>
  <c r="H5" i="24"/>
  <c r="G5" i="24"/>
  <c r="F5" i="24"/>
  <c r="E5" i="24"/>
  <c r="D5" i="24"/>
  <c r="C5" i="24"/>
  <c r="AF5" i="25"/>
  <c r="AE5" i="25"/>
  <c r="AD5" i="25"/>
  <c r="AC5" i="25"/>
  <c r="AB5" i="25"/>
  <c r="AA5" i="25"/>
  <c r="Z5" i="25"/>
  <c r="Y5" i="25"/>
  <c r="X5" i="25"/>
  <c r="W5" i="25"/>
  <c r="V5" i="25"/>
  <c r="U5" i="25"/>
  <c r="T5" i="25"/>
  <c r="S5" i="25"/>
  <c r="R5" i="25"/>
  <c r="Q5" i="25"/>
  <c r="P5" i="25"/>
  <c r="O5" i="25"/>
  <c r="N5" i="25"/>
  <c r="M5" i="25"/>
  <c r="L5" i="25"/>
  <c r="K5" i="25"/>
  <c r="J5" i="25"/>
  <c r="I5" i="25"/>
  <c r="H5" i="25"/>
  <c r="G5" i="25"/>
  <c r="F5" i="25"/>
  <c r="E5" i="25"/>
  <c r="D5" i="25"/>
  <c r="C5" i="25"/>
  <c r="AG5" i="15"/>
  <c r="AF5" i="15"/>
  <c r="AE5" i="15"/>
  <c r="AD5" i="15"/>
  <c r="AC5" i="15"/>
  <c r="AB5" i="15"/>
  <c r="AA5" i="15"/>
  <c r="Z5" i="15"/>
  <c r="Y5" i="15"/>
  <c r="X5" i="15"/>
  <c r="W5" i="15"/>
  <c r="V5" i="15"/>
  <c r="U5" i="15"/>
  <c r="T5" i="15"/>
  <c r="S5" i="15"/>
  <c r="R5" i="15"/>
  <c r="Q5" i="15"/>
  <c r="P5" i="15"/>
  <c r="O5" i="15"/>
  <c r="N5" i="15"/>
  <c r="M5" i="15"/>
  <c r="L5" i="15"/>
  <c r="K5" i="15"/>
  <c r="J5" i="15"/>
  <c r="I5" i="15"/>
  <c r="H5" i="15"/>
  <c r="G5" i="15"/>
  <c r="F5" i="15"/>
  <c r="E5" i="15"/>
  <c r="D5" i="15"/>
  <c r="C5" i="15"/>
  <c r="AG5" i="4"/>
  <c r="AF5" i="4"/>
  <c r="AE5" i="4"/>
  <c r="AD5" i="4"/>
  <c r="AC5" i="4"/>
  <c r="AB5" i="4"/>
  <c r="AA5" i="4"/>
  <c r="Z5" i="4"/>
  <c r="Y5" i="4"/>
  <c r="X5" i="4"/>
  <c r="W5" i="4"/>
  <c r="V5" i="4"/>
  <c r="U5" i="4"/>
  <c r="T5" i="4"/>
  <c r="S5" i="4"/>
  <c r="R5" i="4"/>
  <c r="Q5" i="4"/>
  <c r="P5" i="4"/>
  <c r="O5" i="4"/>
  <c r="N5" i="4"/>
  <c r="M5" i="4"/>
  <c r="L5" i="4"/>
  <c r="K5" i="4"/>
  <c r="J5" i="4"/>
  <c r="I5" i="4"/>
  <c r="H5" i="4"/>
  <c r="G5" i="4"/>
  <c r="F5" i="4"/>
  <c r="E5" i="4"/>
  <c r="D5" i="4"/>
  <c r="C5" i="4"/>
  <c r="AH7" i="25" l="1"/>
  <c r="AH8" i="25"/>
  <c r="AH9" i="25"/>
  <c r="AH10" i="25"/>
  <c r="AH11" i="25"/>
  <c r="AH7" i="23"/>
  <c r="AH8" i="23"/>
  <c r="AH9" i="23"/>
  <c r="AH10" i="23"/>
  <c r="AH11" i="23"/>
  <c r="AH7" i="20"/>
  <c r="AH8" i="20"/>
  <c r="AH9" i="20"/>
  <c r="AH10" i="20"/>
  <c r="AH11" i="20"/>
  <c r="AH7" i="18"/>
  <c r="AH8" i="18"/>
  <c r="AH9" i="18"/>
  <c r="AH10" i="18"/>
  <c r="AH11" i="18"/>
  <c r="AD12" i="15"/>
  <c r="AE12" i="15"/>
  <c r="AF12" i="15"/>
  <c r="AG12" i="15"/>
  <c r="AE12" i="25"/>
  <c r="AF12" i="25"/>
  <c r="AG12" i="25"/>
  <c r="AE12" i="24"/>
  <c r="AF12" i="24"/>
  <c r="AG12" i="24"/>
  <c r="AE12" i="23"/>
  <c r="AF12" i="23"/>
  <c r="AG12" i="23"/>
  <c r="AF12" i="22"/>
  <c r="AG12" i="22"/>
  <c r="AF12" i="21"/>
  <c r="AG12" i="21"/>
  <c r="AF12" i="20"/>
  <c r="AG12" i="20"/>
  <c r="AF12" i="19"/>
  <c r="AG12" i="19"/>
  <c r="AG12" i="18"/>
  <c r="AF12" i="18"/>
  <c r="AF12" i="17"/>
  <c r="AG12" i="17"/>
  <c r="AH9" i="4" l="1"/>
  <c r="AH10" i="4"/>
  <c r="B12" i="23" l="1"/>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B12" i="25"/>
  <c r="AH4" i="25"/>
  <c r="B1" i="25"/>
  <c r="AD12" i="24"/>
  <c r="AC12" i="24"/>
  <c r="AB12" i="24"/>
  <c r="AA12" i="24"/>
  <c r="Z12" i="24"/>
  <c r="Y12" i="24"/>
  <c r="X12" i="24"/>
  <c r="W12" i="24"/>
  <c r="V12" i="24"/>
  <c r="U12" i="24"/>
  <c r="T12" i="24"/>
  <c r="S12" i="24"/>
  <c r="R12" i="24"/>
  <c r="Q12" i="24"/>
  <c r="P12" i="24"/>
  <c r="O12" i="24"/>
  <c r="N12" i="24"/>
  <c r="M12" i="24"/>
  <c r="L12" i="24"/>
  <c r="K12" i="24"/>
  <c r="J12" i="24"/>
  <c r="I12" i="24"/>
  <c r="H12" i="24"/>
  <c r="G12" i="24"/>
  <c r="F12" i="24"/>
  <c r="E12" i="24"/>
  <c r="D12" i="24"/>
  <c r="C12" i="24"/>
  <c r="B12" i="24"/>
  <c r="AH11" i="24"/>
  <c r="AH10" i="24"/>
  <c r="AH9" i="24"/>
  <c r="AH8" i="24"/>
  <c r="AH7" i="24"/>
  <c r="AH4" i="24"/>
  <c r="B1" i="24"/>
  <c r="AD12" i="23"/>
  <c r="AC12" i="23"/>
  <c r="AB12" i="23"/>
  <c r="AA12" i="23"/>
  <c r="Z12" i="23"/>
  <c r="Y12" i="23"/>
  <c r="X12" i="23"/>
  <c r="W12" i="23"/>
  <c r="V12" i="23"/>
  <c r="U12" i="23"/>
  <c r="T12" i="23"/>
  <c r="S12" i="23"/>
  <c r="R12" i="23"/>
  <c r="Q12" i="23"/>
  <c r="P12" i="23"/>
  <c r="O12" i="23"/>
  <c r="N12" i="23"/>
  <c r="M12" i="23"/>
  <c r="L12" i="23"/>
  <c r="K12" i="23"/>
  <c r="J12" i="23"/>
  <c r="I12" i="23"/>
  <c r="H12" i="23"/>
  <c r="G12" i="23"/>
  <c r="F12" i="23"/>
  <c r="E12" i="23"/>
  <c r="D12" i="23"/>
  <c r="C12" i="23"/>
  <c r="AH12" i="23"/>
  <c r="AH4" i="23"/>
  <c r="B1" i="23"/>
  <c r="AE12" i="22"/>
  <c r="AD12" i="22"/>
  <c r="AC12" i="22"/>
  <c r="AB12" i="22"/>
  <c r="AA12" i="22"/>
  <c r="Z12" i="22"/>
  <c r="Y12" i="22"/>
  <c r="X12" i="22"/>
  <c r="W12" i="22"/>
  <c r="V12" i="22"/>
  <c r="U12" i="22"/>
  <c r="T12" i="22"/>
  <c r="S12" i="22"/>
  <c r="R12" i="22"/>
  <c r="Q12" i="22"/>
  <c r="P12" i="22"/>
  <c r="O12" i="22"/>
  <c r="N12" i="22"/>
  <c r="M12" i="22"/>
  <c r="L12" i="22"/>
  <c r="K12" i="22"/>
  <c r="J12" i="22"/>
  <c r="I12" i="22"/>
  <c r="H12" i="22"/>
  <c r="G12" i="22"/>
  <c r="F12" i="22"/>
  <c r="E12" i="22"/>
  <c r="D12" i="22"/>
  <c r="C12" i="22"/>
  <c r="B12" i="22"/>
  <c r="AH11" i="22"/>
  <c r="AH10" i="22"/>
  <c r="AH9" i="22"/>
  <c r="AH8" i="22"/>
  <c r="AH7" i="22"/>
  <c r="AH4" i="22"/>
  <c r="B1" i="22"/>
  <c r="AE12" i="21"/>
  <c r="AD12" i="21"/>
  <c r="AC12" i="21"/>
  <c r="AB12" i="21"/>
  <c r="AA12" i="21"/>
  <c r="Z12" i="21"/>
  <c r="Y12" i="21"/>
  <c r="X12" i="21"/>
  <c r="W12" i="21"/>
  <c r="V12" i="21"/>
  <c r="U12" i="21"/>
  <c r="T12" i="21"/>
  <c r="S12" i="21"/>
  <c r="R12" i="21"/>
  <c r="Q12" i="21"/>
  <c r="P12" i="21"/>
  <c r="O12" i="21"/>
  <c r="N12" i="21"/>
  <c r="M12" i="21"/>
  <c r="L12" i="21"/>
  <c r="K12" i="21"/>
  <c r="J12" i="21"/>
  <c r="I12" i="21"/>
  <c r="H12" i="21"/>
  <c r="G12" i="21"/>
  <c r="F12" i="21"/>
  <c r="E12" i="21"/>
  <c r="D12" i="21"/>
  <c r="C12" i="21"/>
  <c r="B12" i="21"/>
  <c r="AH11" i="21"/>
  <c r="AH10" i="21"/>
  <c r="AH9" i="21"/>
  <c r="AH8" i="21"/>
  <c r="AH7" i="21"/>
  <c r="AH4" i="21"/>
  <c r="B1" i="21"/>
  <c r="AE12" i="20"/>
  <c r="AD12" i="20"/>
  <c r="AC12" i="20"/>
  <c r="AB12" i="20"/>
  <c r="AA12" i="20"/>
  <c r="Z12" i="20"/>
  <c r="Y12" i="20"/>
  <c r="X12" i="20"/>
  <c r="W12" i="20"/>
  <c r="V12" i="20"/>
  <c r="U12" i="20"/>
  <c r="T12" i="20"/>
  <c r="S12" i="20"/>
  <c r="R12" i="20"/>
  <c r="Q12" i="20"/>
  <c r="P12" i="20"/>
  <c r="O12" i="20"/>
  <c r="N12" i="20"/>
  <c r="M12" i="20"/>
  <c r="L12" i="20"/>
  <c r="K12" i="20"/>
  <c r="J12" i="20"/>
  <c r="I12" i="20"/>
  <c r="H12" i="20"/>
  <c r="G12" i="20"/>
  <c r="F12" i="20"/>
  <c r="E12" i="20"/>
  <c r="D12" i="20"/>
  <c r="C12" i="20"/>
  <c r="B12" i="20"/>
  <c r="AH4" i="20"/>
  <c r="B1" i="20"/>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AH11" i="19"/>
  <c r="AH10" i="19"/>
  <c r="AH9" i="19"/>
  <c r="AH8" i="19"/>
  <c r="AH7" i="19"/>
  <c r="AH4" i="19"/>
  <c r="B1" i="19"/>
  <c r="AE12" i="18"/>
  <c r="AD12" i="18"/>
  <c r="AC12" i="18"/>
  <c r="AB12" i="18"/>
  <c r="AA12" i="18"/>
  <c r="Z12" i="18"/>
  <c r="Y12" i="18"/>
  <c r="X12" i="18"/>
  <c r="W12" i="18"/>
  <c r="V12" i="18"/>
  <c r="U12" i="18"/>
  <c r="T12" i="18"/>
  <c r="S12" i="18"/>
  <c r="R12" i="18"/>
  <c r="Q12" i="18"/>
  <c r="P12" i="18"/>
  <c r="O12" i="18"/>
  <c r="N12" i="18"/>
  <c r="M12" i="18"/>
  <c r="L12" i="18"/>
  <c r="K12" i="18"/>
  <c r="J12" i="18"/>
  <c r="I12" i="18"/>
  <c r="H12" i="18"/>
  <c r="G12" i="18"/>
  <c r="F12" i="18"/>
  <c r="E12" i="18"/>
  <c r="D12" i="18"/>
  <c r="C12" i="18"/>
  <c r="B12" i="18"/>
  <c r="AH12" i="18"/>
  <c r="AH4" i="18"/>
  <c r="B1" i="18"/>
  <c r="AE12" i="17"/>
  <c r="AD12" i="17"/>
  <c r="AC12" i="17"/>
  <c r="AB12" i="17"/>
  <c r="AA12" i="17"/>
  <c r="Z12" i="17"/>
  <c r="Y12" i="17"/>
  <c r="X12" i="17"/>
  <c r="W12" i="17"/>
  <c r="V12" i="17"/>
  <c r="U12" i="17"/>
  <c r="T12" i="17"/>
  <c r="S12" i="17"/>
  <c r="R12" i="17"/>
  <c r="Q12" i="17"/>
  <c r="P12" i="17"/>
  <c r="O12" i="17"/>
  <c r="N12" i="17"/>
  <c r="M12" i="17"/>
  <c r="L12" i="17"/>
  <c r="K12" i="17"/>
  <c r="J12" i="17"/>
  <c r="I12" i="17"/>
  <c r="H12" i="17"/>
  <c r="G12" i="17"/>
  <c r="F12" i="17"/>
  <c r="E12" i="17"/>
  <c r="D12" i="17"/>
  <c r="C12" i="17"/>
  <c r="B12" i="17"/>
  <c r="AH11" i="17"/>
  <c r="AH10" i="17"/>
  <c r="AH9" i="17"/>
  <c r="AH8" i="17"/>
  <c r="AH7" i="17"/>
  <c r="AH4" i="17"/>
  <c r="B1" i="17"/>
  <c r="B1" i="15"/>
  <c r="B1" i="5"/>
  <c r="AH12" i="17" l="1"/>
  <c r="AH12" i="21"/>
  <c r="AH12" i="22"/>
  <c r="AH12" i="25"/>
  <c r="AH12" i="20"/>
  <c r="AH12" i="19"/>
  <c r="AH12" i="24"/>
  <c r="AH4" i="5" l="1"/>
  <c r="AH4" i="15" l="1"/>
  <c r="C12" i="4" l="1"/>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7" i="15" l="1"/>
  <c r="AH8" i="15"/>
  <c r="AH9" i="15"/>
  <c r="AH10" i="15"/>
  <c r="AH11" i="15"/>
  <c r="AH12" i="15" l="1"/>
  <c r="C12" i="15"/>
  <c r="D12" i="15"/>
  <c r="E12" i="15"/>
  <c r="F12" i="15"/>
  <c r="G12" i="15"/>
  <c r="H12" i="15"/>
  <c r="I12" i="15"/>
  <c r="J12" i="15"/>
  <c r="K12" i="15"/>
  <c r="L12" i="15"/>
  <c r="M12" i="15"/>
  <c r="N12" i="15"/>
  <c r="O12" i="15"/>
  <c r="P12" i="15"/>
  <c r="Q12" i="15"/>
  <c r="R12" i="15"/>
  <c r="S12" i="15"/>
  <c r="T12" i="15"/>
  <c r="U12" i="15"/>
  <c r="V12" i="15"/>
  <c r="W12" i="15"/>
  <c r="X12" i="15"/>
  <c r="Y12" i="15"/>
  <c r="Z12" i="15"/>
  <c r="AA12" i="15"/>
  <c r="AB12" i="15"/>
  <c r="AC12" i="15"/>
  <c r="B12" i="15" l="1"/>
  <c r="B12" i="5"/>
  <c r="B12" i="4"/>
  <c r="AH11" i="5" l="1"/>
  <c r="AH10" i="5"/>
  <c r="AH9" i="5"/>
  <c r="AH11" i="4"/>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AH8" i="5"/>
  <c r="AH7" i="5"/>
  <c r="AH12" i="5" l="1"/>
  <c r="AH7" i="4"/>
  <c r="AH8" i="4"/>
  <c r="AH12" i="4" l="1"/>
</calcChain>
</file>

<file path=xl/sharedStrings.xml><?xml version="1.0" encoding="utf-8"?>
<sst xmlns="http://schemas.openxmlformats.org/spreadsheetml/2006/main" count="643" uniqueCount="65">
  <si>
    <t>Calendrier des absences des employés</t>
  </si>
  <si>
    <t>Clé de motif d’absence</t>
  </si>
  <si>
    <t>Janvier</t>
  </si>
  <si>
    <t>Nom de l’employé</t>
  </si>
  <si>
    <t>Employé 1</t>
  </si>
  <si>
    <t>Employé 2</t>
  </si>
  <si>
    <t>Employé 3</t>
  </si>
  <si>
    <t>Employé 4</t>
  </si>
  <si>
    <t>Employé 5</t>
  </si>
  <si>
    <t>C</t>
  </si>
  <si>
    <t>Dates d’absence</t>
  </si>
  <si>
    <t>1</t>
  </si>
  <si>
    <t>Congé</t>
  </si>
  <si>
    <t>2</t>
  </si>
  <si>
    <t>3</t>
  </si>
  <si>
    <t>P</t>
  </si>
  <si>
    <t>4</t>
  </si>
  <si>
    <t>M</t>
  </si>
  <si>
    <t>5</t>
  </si>
  <si>
    <t>Personnel</t>
  </si>
  <si>
    <t>6</t>
  </si>
  <si>
    <t>7</t>
  </si>
  <si>
    <t>8</t>
  </si>
  <si>
    <t>9</t>
  </si>
  <si>
    <t>Maladie</t>
  </si>
  <si>
    <t>10</t>
  </si>
  <si>
    <t>11</t>
  </si>
  <si>
    <t>12</t>
  </si>
  <si>
    <t>Personnalisé 1</t>
  </si>
  <si>
    <t>13</t>
  </si>
  <si>
    <t>14</t>
  </si>
  <si>
    <t>15</t>
  </si>
  <si>
    <t>16</t>
  </si>
  <si>
    <t>Personnalisé 2</t>
  </si>
  <si>
    <t>17</t>
  </si>
  <si>
    <t>18</t>
  </si>
  <si>
    <t>19</t>
  </si>
  <si>
    <t>20</t>
  </si>
  <si>
    <t>21</t>
  </si>
  <si>
    <t>22</t>
  </si>
  <si>
    <t>23</t>
  </si>
  <si>
    <t>24</t>
  </si>
  <si>
    <t>25</t>
  </si>
  <si>
    <t>26</t>
  </si>
  <si>
    <t>27</t>
  </si>
  <si>
    <t>28</t>
  </si>
  <si>
    <t>29</t>
  </si>
  <si>
    <t>30</t>
  </si>
  <si>
    <t>31</t>
  </si>
  <si>
    <t>Entrez l’année :</t>
  </si>
  <si>
    <t>Total des jours</t>
  </si>
  <si>
    <t>Février</t>
  </si>
  <si>
    <t xml:space="preserve"> </t>
  </si>
  <si>
    <t xml:space="preserve">  </t>
  </si>
  <si>
    <t>Mars</t>
  </si>
  <si>
    <t>Avril</t>
  </si>
  <si>
    <t>Mai</t>
  </si>
  <si>
    <t>Juin</t>
  </si>
  <si>
    <t>Juillet</t>
  </si>
  <si>
    <t>Août</t>
  </si>
  <si>
    <t>Septembre</t>
  </si>
  <si>
    <t>Octobre</t>
  </si>
  <si>
    <t>Novembre</t>
  </si>
  <si>
    <t>Décembre</t>
  </si>
  <si>
    <t>Noms des employés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</si>
</sst>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6"/>
      <color theme="3" tint="-0.24994659260841701"/>
      <name val="Calibri"/>
      <family val="2"/>
      <scheme val="major"/>
    </font>
    <font>
      <b/>
      <sz val="18"/>
      <color theme="4" tint="-0.24994659260841701"/>
      <name val="Calibri"/>
      <family val="2"/>
      <scheme val="minor"/>
    </font>
    <font>
      <b/>
      <sz val="26"/>
      <color theme="3"/>
      <name val="Calibri"/>
      <family val="2"/>
      <scheme val="minor"/>
    </font>
    <font>
      <sz val="11"/>
      <color theme="4" tint="-0.499984740745262"/>
      <name val="Calibri"/>
      <family val="2"/>
      <scheme val="minor"/>
    </font>
    <font>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33">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7" tint="0.79998168889431442"/>
        <bgColor indexed="65"/>
      </patternFill>
    </fill>
    <fill>
      <patternFill patternType="solid">
        <fgColor theme="7" tint="0.39997558519241921"/>
        <bgColor indexed="65"/>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39994506668294322"/>
        <bgColor indexed="64"/>
      </patternFill>
    </fill>
    <fill>
      <patternFill patternType="solid">
        <fgColor theme="7" tint="0.59996337778862885"/>
        <bgColor indexed="64"/>
      </patternFill>
    </fill>
    <fill>
      <patternFill patternType="solid">
        <fgColor theme="5" tint="0.59999389629810485"/>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59999389629810485"/>
        <bgColor indexed="65"/>
      </patternFill>
    </fill>
    <fill>
      <patternFill patternType="solid">
        <fgColor theme="4" tint="0.39994506668294322"/>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rgb="FFF8E3E0"/>
        <bgColor indexed="64"/>
      </patternFill>
    </fill>
    <fill>
      <patternFill patternType="solid">
        <fgColor theme="5" tint="0.39994506668294322"/>
        <bgColor indexed="64"/>
      </patternFill>
    </fill>
    <fill>
      <patternFill patternType="solid">
        <fgColor theme="6" tint="0.599963377788628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5" tint="0.79998168889431442"/>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horizontal="left" vertical="center"/>
    </xf>
    <xf numFmtId="0" fontId="6" fillId="0" borderId="0" applyNumberFormat="0" applyFill="0" applyBorder="0" applyProtection="0">
      <alignment vertical="top"/>
    </xf>
    <xf numFmtId="0" fontId="4" fillId="0" borderId="0" applyNumberFormat="0" applyFill="0" applyBorder="0" applyProtection="0">
      <alignment vertical="top"/>
    </xf>
    <xf numFmtId="0" fontId="5" fillId="2" borderId="0" applyNumberFormat="0" applyBorder="0" applyProtection="0">
      <alignment horizontal="center" vertical="center"/>
    </xf>
    <xf numFmtId="0" fontId="2" fillId="20" borderId="0" applyNumberFormat="0" applyProtection="0">
      <alignment horizontal="right" vertical="center" indent="1"/>
    </xf>
    <xf numFmtId="0" fontId="1" fillId="0" borderId="0" applyNumberFormat="0" applyFill="0" applyBorder="0" applyProtection="0">
      <alignment horizontal="left" vertical="center" indent="2"/>
    </xf>
    <xf numFmtId="0" fontId="3" fillId="3" borderId="0" applyNumberFormat="0" applyBorder="0" applyAlignment="0" applyProtection="0"/>
    <xf numFmtId="0" fontId="1" fillId="4" borderId="0" applyNumberFormat="0" applyBorder="0" applyProtection="0">
      <alignment horizontal="center" vertical="center"/>
    </xf>
    <xf numFmtId="0" fontId="2" fillId="9" borderId="0" applyNumberFormat="0" applyBorder="0" applyAlignment="0" applyProtection="0"/>
    <xf numFmtId="0" fontId="1" fillId="5" borderId="0" applyNumberFormat="0" applyBorder="0" applyAlignment="0" applyProtection="0"/>
    <xf numFmtId="0" fontId="3" fillId="7" borderId="0" applyNumberFormat="0" applyBorder="0" applyAlignment="0" applyProtection="0"/>
    <xf numFmtId="0" fontId="1" fillId="6" borderId="0" applyNumberFormat="0" applyBorder="0" applyAlignment="0" applyProtection="0"/>
    <xf numFmtId="0" fontId="2" fillId="15" borderId="0" applyNumberFormat="0" applyBorder="0" applyAlignment="0" applyProtection="0"/>
    <xf numFmtId="0" fontId="1" fillId="8" borderId="0" applyNumberFormat="0" applyBorder="0" applyAlignment="0" applyProtection="0"/>
    <xf numFmtId="0" fontId="3" fillId="15" borderId="0" applyNumberFormat="0" applyBorder="0" applyAlignment="0" applyProtection="0"/>
    <xf numFmtId="0" fontId="1" fillId="18" borderId="0" applyNumberFormat="0" applyBorder="0" applyAlignment="0" applyProtection="0"/>
    <xf numFmtId="0" fontId="2" fillId="17"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2" fillId="10" borderId="0" applyNumberFormat="0" applyBorder="0" applyAlignment="0" applyProtection="0"/>
    <xf numFmtId="0" fontId="3" fillId="11" borderId="0" applyNumberFormat="0" applyBorder="0" applyAlignment="0" applyProtection="0"/>
    <xf numFmtId="0" fontId="1" fillId="2" borderId="0" applyNumberFormat="0" applyBorder="0" applyAlignment="0" applyProtection="0"/>
    <xf numFmtId="0" fontId="2" fillId="12" borderId="0" applyNumberFormat="0" applyBorder="0" applyProtection="0">
      <alignment horizontal="left" vertical="center" indent="1"/>
    </xf>
    <xf numFmtId="0" fontId="2" fillId="13" borderId="0" applyNumberFormat="0" applyBorder="0" applyAlignment="0" applyProtection="0"/>
    <xf numFmtId="0" fontId="2" fillId="14" borderId="0" applyNumberFormat="0" applyBorder="0" applyAlignment="0" applyProtection="0"/>
    <xf numFmtId="1" fontId="1" fillId="0" borderId="0" applyFill="0" applyBorder="0" applyProtection="0">
      <alignment horizontal="center" vertical="center"/>
    </xf>
    <xf numFmtId="0" fontId="1" fillId="0" borderId="0" applyNumberFormat="0" applyFill="0" applyBorder="0">
      <alignment horizontal="left" vertical="center" wrapText="1" indent="2"/>
    </xf>
    <xf numFmtId="0" fontId="7" fillId="0" borderId="0">
      <alignment horizontal="center"/>
    </xf>
    <xf numFmtId="165"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9" fillId="21" borderId="0" applyNumberFormat="0" applyBorder="0" applyAlignment="0" applyProtection="0"/>
    <xf numFmtId="0" fontId="10" fillId="22" borderId="0" applyNumberFormat="0" applyBorder="0" applyAlignment="0" applyProtection="0"/>
    <xf numFmtId="0" fontId="11" fillId="23" borderId="0" applyNumberFormat="0" applyBorder="0" applyAlignment="0" applyProtection="0"/>
    <xf numFmtId="0" fontId="12" fillId="24" borderId="1" applyNumberFormat="0" applyAlignment="0" applyProtection="0"/>
    <xf numFmtId="0" fontId="13" fillId="25" borderId="2" applyNumberFormat="0" applyAlignment="0" applyProtection="0"/>
    <xf numFmtId="0" fontId="14" fillId="25" borderId="1" applyNumberFormat="0" applyAlignment="0" applyProtection="0"/>
    <xf numFmtId="0" fontId="15" fillId="0" borderId="3" applyNumberFormat="0" applyFill="0" applyAlignment="0" applyProtection="0"/>
    <xf numFmtId="0" fontId="16" fillId="26" borderId="4" applyNumberFormat="0" applyAlignment="0" applyProtection="0"/>
    <xf numFmtId="0" fontId="17" fillId="0" borderId="0" applyNumberFormat="0" applyFill="0" applyBorder="0" applyAlignment="0" applyProtection="0"/>
    <xf numFmtId="0" fontId="1" fillId="27" borderId="5" applyNumberFormat="0" applyFont="0" applyAlignment="0" applyProtection="0"/>
    <xf numFmtId="0" fontId="18" fillId="0" borderId="0" applyNumberFormat="0" applyFill="0" applyBorder="0" applyAlignment="0" applyProtection="0"/>
    <xf numFmtId="0" fontId="1" fillId="28" borderId="0" applyNumberFormat="0" applyBorder="0" applyAlignment="0" applyProtection="0"/>
    <xf numFmtId="0" fontId="1" fillId="29" borderId="0" applyNumberFormat="0" applyBorder="0" applyAlignment="0" applyProtection="0"/>
    <xf numFmtId="0" fontId="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
    <xf numFmtId="0" fontId="0" fillId="0" borderId="0" xfId="0">
      <alignment horizontal="left" vertical="center"/>
    </xf>
    <xf numFmtId="0" fontId="1" fillId="0" borderId="0" xfId="26">
      <alignment horizontal="left" vertical="center" wrapText="1" indent="2"/>
    </xf>
    <xf numFmtId="0" fontId="0" fillId="0" borderId="0" xfId="0" applyAlignment="1">
      <alignment horizontal="center" vertical="center"/>
    </xf>
    <xf numFmtId="0" fontId="2" fillId="15" borderId="0" xfId="12" applyAlignment="1" applyProtection="1">
      <alignment horizontal="center" vertical="center"/>
    </xf>
    <xf numFmtId="0" fontId="2" fillId="10" borderId="0" xfId="19" applyAlignment="1" applyProtection="1">
      <alignment horizontal="center" vertical="center"/>
    </xf>
    <xf numFmtId="0" fontId="2" fillId="13" borderId="0" xfId="23" applyAlignment="1" applyProtection="1">
      <alignment horizontal="center" vertical="center"/>
    </xf>
    <xf numFmtId="166" fontId="2" fillId="9" borderId="0" xfId="8" applyNumberFormat="1" applyAlignment="1" applyProtection="1">
      <alignment horizontal="center" vertical="center"/>
    </xf>
    <xf numFmtId="166" fontId="2" fillId="14" borderId="0" xfId="24" applyNumberFormat="1" applyAlignment="1" applyProtection="1">
      <alignment horizontal="center" vertical="center"/>
    </xf>
    <xf numFmtId="0" fontId="1" fillId="0" borderId="0" xfId="26" applyFill="1" applyBorder="1">
      <alignment horizontal="left" vertical="center" wrapText="1" indent="2"/>
    </xf>
    <xf numFmtId="1" fontId="1" fillId="0" borderId="0" xfId="25" applyFill="1" applyBorder="1" applyProtection="1">
      <alignment horizontal="center" vertical="center"/>
    </xf>
    <xf numFmtId="0" fontId="5" fillId="2" borderId="0" xfId="3" applyProtection="1">
      <alignment horizontal="center" vertical="center"/>
    </xf>
    <xf numFmtId="166" fontId="0" fillId="0" borderId="0" xfId="0" applyNumberFormat="1" applyAlignment="1">
      <alignment horizontal="center" vertical="center"/>
    </xf>
    <xf numFmtId="0" fontId="6" fillId="0" borderId="0" xfId="1" applyProtection="1">
      <alignment vertical="top"/>
    </xf>
    <xf numFmtId="0" fontId="1" fillId="2" borderId="0" xfId="21" applyBorder="1" applyAlignment="1" applyProtection="1">
      <alignment horizontal="left" vertical="center" indent="1"/>
    </xf>
    <xf numFmtId="0" fontId="0" fillId="0" borderId="0" xfId="21" applyFont="1" applyFill="1" applyBorder="1" applyAlignment="1" applyProtection="1">
      <alignment horizontal="center" vertical="center"/>
    </xf>
    <xf numFmtId="0" fontId="0" fillId="0" borderId="0" xfId="0" applyAlignment="1">
      <alignment horizontal="left" vertical="center" wrapText="1"/>
    </xf>
    <xf numFmtId="0" fontId="2" fillId="20" borderId="0" xfId="4" applyProtection="1">
      <alignment horizontal="right" vertical="center" indent="1"/>
    </xf>
    <xf numFmtId="0" fontId="7" fillId="0" borderId="0" xfId="27">
      <alignment horizontal="center"/>
    </xf>
    <xf numFmtId="0" fontId="0" fillId="0" borderId="0" xfId="0" applyAlignment="1">
      <alignment horizontal="left" vertical="center" indent="1"/>
    </xf>
    <xf numFmtId="0" fontId="6" fillId="0" borderId="0" xfId="1">
      <alignment vertical="top"/>
    </xf>
    <xf numFmtId="0" fontId="8" fillId="0" borderId="0" xfId="0" applyFont="1" applyAlignment="1">
      <alignment horizontal="center" vertical="center"/>
    </xf>
    <xf numFmtId="0" fontId="5" fillId="2" borderId="0" xfId="3" applyProtection="1">
      <alignment horizontal="center" vertical="center"/>
    </xf>
    <xf numFmtId="0" fontId="1" fillId="2" borderId="0" xfId="21" applyAlignment="1" applyProtection="1">
      <alignment horizontal="left" vertical="center"/>
    </xf>
  </cellXfs>
  <cellStyles count="49">
    <cellStyle name="20% - Colore 1" xfId="15" builtinId="30" customBuiltin="1"/>
    <cellStyle name="20% - Colore 2" xfId="44" builtinId="34" customBuiltin="1"/>
    <cellStyle name="20% - Colore 3" xfId="21" builtinId="38" customBuiltin="1"/>
    <cellStyle name="20% - Colore 4" xfId="7" builtinId="42" customBuiltin="1"/>
    <cellStyle name="20% - Colore 5" xfId="47" builtinId="46" customBuiltin="1"/>
    <cellStyle name="20% - Colore 6" xfId="11" builtinId="50" customBuiltin="1"/>
    <cellStyle name="40% - Colore 1" xfId="16" builtinId="31" customBuiltin="1"/>
    <cellStyle name="40% - Colore 2" xfId="19" builtinId="35" customBuiltin="1"/>
    <cellStyle name="40% - Colore 3" xfId="22" builtinId="39" customBuiltin="1"/>
    <cellStyle name="40% - Colore 4" xfId="8" builtinId="43" customBuiltin="1"/>
    <cellStyle name="40% - Colore 5" xfId="24" builtinId="47" customBuiltin="1"/>
    <cellStyle name="40% - Colore 6" xfId="12" builtinId="51" customBuiltin="1"/>
    <cellStyle name="60% - Colore 1" xfId="17" builtinId="32" customBuiltin="1"/>
    <cellStyle name="60% - Colore 2" xfId="45" builtinId="36" customBuiltin="1"/>
    <cellStyle name="60% - Colore 3" xfId="23" builtinId="40" customBuiltin="1"/>
    <cellStyle name="60% - Colore 4" xfId="9" builtinId="44" customBuiltin="1"/>
    <cellStyle name="60% - Colore 5" xfId="48" builtinId="48" customBuiltin="1"/>
    <cellStyle name="60% - Colore 6" xfId="13" builtinId="52" customBuiltin="1"/>
    <cellStyle name="Calcolo" xfId="38" builtinId="22" customBuiltin="1"/>
    <cellStyle name="Cella collegata" xfId="39" builtinId="24" customBuiltin="1"/>
    <cellStyle name="Cella da controllare" xfId="40" builtinId="23" customBuiltin="1"/>
    <cellStyle name="Colore 1" xfId="14" builtinId="29" customBuiltin="1"/>
    <cellStyle name="Colore 2" xfId="18" builtinId="33" customBuiltin="1"/>
    <cellStyle name="Colore 3" xfId="20" builtinId="37" customBuiltin="1"/>
    <cellStyle name="Colore 4" xfId="6" builtinId="41" customBuiltin="1"/>
    <cellStyle name="Colore 5" xfId="46" builtinId="45" customBuiltin="1"/>
    <cellStyle name="Colore 6" xfId="10" builtinId="49" customBuiltin="1"/>
    <cellStyle name="Employé" xfId="26" xr:uid="{00000000-0005-0000-0000-000013000000}"/>
    <cellStyle name="Étiquette" xfId="27" xr:uid="{00000000-0005-0000-0000-000018000000}"/>
    <cellStyle name="Input" xfId="36" builtinId="20" customBuiltin="1"/>
    <cellStyle name="Migliaia" xfId="28" builtinId="3" customBuiltin="1"/>
    <cellStyle name="Migliaia [0]" xfId="29" builtinId="6" customBuiltin="1"/>
    <cellStyle name="Neutrale" xfId="35" builtinId="28" customBuiltin="1"/>
    <cellStyle name="Normale" xfId="0" builtinId="0" customBuiltin="1"/>
    <cellStyle name="Nota" xfId="42" builtinId="10" customBuiltin="1"/>
    <cellStyle name="Output" xfId="37" builtinId="21" customBuiltin="1"/>
    <cellStyle name="Percentuale" xfId="32" builtinId="5" customBuiltin="1"/>
    <cellStyle name="Testo avviso" xfId="41" builtinId="11" customBuiltin="1"/>
    <cellStyle name="Testo descrittivo" xfId="43"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25" builtinId="25" customBuiltin="1"/>
    <cellStyle name="Valore non valido" xfId="34" builtinId="27" customBuiltin="1"/>
    <cellStyle name="Valore valido" xfId="33" builtinId="26" customBuiltin="1"/>
    <cellStyle name="Valuta" xfId="30" builtinId="4" customBuiltin="1"/>
    <cellStyle name="Valuta [0]" xfId="31" builtinId="7" customBuiltin="1"/>
  </cellStyles>
  <dxfs count="903">
    <dxf>
      <font>
        <b val="0"/>
        <i val="0"/>
        <strike val="0"/>
        <condense val="0"/>
        <extend val="0"/>
        <outline val="0"/>
        <shadow val="0"/>
        <u val="none"/>
        <vertAlign val="baseline"/>
        <sz val="11"/>
        <color theme="1"/>
        <name val="Calibri"/>
        <family val="2"/>
        <scheme val="minor"/>
      </font>
      <alignment horizontal="left" vertical="center" textRotation="0" wrapText="1" indent="2" justifyLastLine="0" shrinkToFit="0" readingOrder="0"/>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numFmt numFmtId="1" formatCode="0"/>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numFmt numFmtId="1" formatCode="0"/>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numFmt numFmtId="1" formatCode="0"/>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numFmt numFmtId="1" formatCode="0"/>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numFmt numFmtId="0" formatCode="General"/>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ill>
        <patternFill patternType="none">
          <fgColor indexed="64"/>
          <bgColor indexed="65"/>
        </patternFill>
      </fill>
      <protection locked="1" hidden="0"/>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0"/>
      </font>
      <border>
        <vertical/>
        <horizontal/>
      </border>
    </dxf>
    <dxf>
      <font>
        <b val="0"/>
        <i val="0"/>
        <color theme="3"/>
      </font>
      <border>
        <vertical/>
        <horizontal/>
      </border>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numFmt numFmtId="166" formatCode="0;0;"/>
      <fill>
        <patternFill patternType="none">
          <fgColor indexed="64"/>
          <bgColor indexed="65"/>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ill>
        <patternFill patternType="none">
          <fgColor indexed="64"/>
          <bgColor indexed="65"/>
        </patternFill>
      </fill>
    </dxf>
    <dxf>
      <protection locked="1" hidden="0"/>
    </dxf>
    <dxf>
      <protection locked="1" hidden="0"/>
    </dxf>
    <dxf>
      <protection locked="1" hidden="0"/>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ill>
        <patternFill patternType="solid">
          <bgColor theme="6" tint="0.79998168889431442"/>
        </patternFill>
      </fill>
      <border diagonalUp="0" diagonalDown="0">
        <left/>
        <right/>
        <top style="thin">
          <color theme="0" tint="-0.14996795556505021"/>
        </top>
        <bottom style="medium">
          <color theme="2" tint="-0.499984740745262"/>
        </bottom>
        <vertical/>
        <horizontal/>
      </border>
    </dxf>
    <dxf>
      <font>
        <color theme="1"/>
      </font>
      <fill>
        <patternFill patternType="solid">
          <bgColor theme="6" tint="0.79998168889431442"/>
        </patternFill>
      </fill>
      <border diagonalUp="0" diagonalDown="0">
        <left/>
        <right/>
        <top style="thin">
          <color theme="0" tint="-0.14993743705557422"/>
        </top>
        <bottom style="medium">
          <color theme="2" tint="-0.499984740745262"/>
        </bottom>
        <vertical/>
        <horizontal style="thin">
          <color theme="0" tint="-0.14993743705557422"/>
        </horizontal>
      </border>
    </dxf>
    <dxf>
      <font>
        <color theme="1"/>
      </font>
      <fill>
        <patternFill patternType="solid">
          <bgColor theme="2"/>
        </patternFill>
      </fill>
      <border diagonalUp="0" diagonalDown="0">
        <left/>
        <right/>
        <top/>
        <bottom style="thin">
          <color theme="0" tint="-0.14996795556505021"/>
        </bottom>
        <vertical/>
        <horizontal/>
      </border>
    </dxf>
    <dxf>
      <font>
        <color theme="1"/>
      </font>
      <fill>
        <patternFill patternType="none">
          <bgColor auto="1"/>
        </patternFill>
      </fill>
      <border diagonalUp="0" diagonalDown="0">
        <left/>
        <right/>
        <top style="thin">
          <color theme="0" tint="-0.14996795556505021"/>
        </top>
        <bottom style="thin">
          <color theme="0" tint="-0.14993743705557422"/>
        </bottom>
        <vertical/>
        <horizontal/>
      </border>
    </dxf>
    <dxf>
      <fill>
        <patternFill>
          <bgColor theme="0" tint="-0.14996795556505021"/>
        </patternFill>
      </fill>
      <border>
        <left style="thin">
          <color theme="0"/>
        </left>
        <right style="thin">
          <color theme="0"/>
        </right>
        <vertical style="thin">
          <color theme="0"/>
        </vertical>
      </border>
    </dxf>
    <dxf>
      <fill>
        <patternFill>
          <bgColor theme="0" tint="-4.9989318521683403E-2"/>
        </patternFill>
      </fill>
      <border>
        <left style="thin">
          <color theme="0"/>
        </left>
        <right style="thin">
          <color theme="0"/>
        </right>
        <vertical style="thin">
          <color theme="0"/>
        </vertical>
      </border>
    </dxf>
    <dxf>
      <fill>
        <patternFill>
          <bgColor theme="0" tint="-0.14996795556505021"/>
        </patternFill>
      </fill>
    </dxf>
    <dxf>
      <fill>
        <patternFill patternType="solid">
          <fgColor theme="4" tint="0.79992065187536243"/>
          <bgColor theme="0" tint="-4.9989318521683403E-2"/>
        </patternFill>
      </fill>
    </dxf>
    <dxf>
      <font>
        <color theme="1"/>
      </font>
      <fill>
        <patternFill patternType="none">
          <bgColor auto="1"/>
        </patternFill>
      </fill>
      <border diagonalUp="0" diagonalDown="0">
        <left/>
        <right/>
        <top/>
        <bottom style="thin">
          <color theme="0" tint="-0.14996795556505021"/>
        </bottom>
        <vertical/>
        <horizontal style="thin">
          <color theme="0" tint="-0.14996795556505021"/>
        </horizontal>
      </border>
    </dxf>
    <dxf>
      <font>
        <color theme="1"/>
      </font>
      <fill>
        <patternFill patternType="none">
          <bgColor auto="1"/>
        </patternFill>
      </fill>
      <border>
        <left/>
        <right/>
        <top style="thin">
          <color theme="2" tint="-9.9917600024414813E-2"/>
        </top>
        <bottom style="thin">
          <color theme="2" tint="-9.9948118533890809E-2"/>
        </bottom>
        <vertical/>
        <horizontal style="thin">
          <color theme="2" tint="-9.9917600024414813E-2"/>
        </horizontal>
      </border>
    </dxf>
    <dxf>
      <font>
        <color theme="1"/>
      </font>
      <fill>
        <patternFill>
          <bgColor theme="6" tint="0.79998168889431442"/>
        </patternFill>
      </fill>
      <border diagonalUp="0" diagonalDown="0">
        <left style="thin">
          <color theme="0"/>
        </left>
        <right style="thin">
          <color theme="0"/>
        </right>
        <top/>
        <bottom style="medium">
          <color theme="2" tint="-0.499984740745262"/>
        </bottom>
        <vertical style="thin">
          <color theme="0"/>
        </vertical>
        <horizontal/>
      </border>
    </dxf>
    <dxf>
      <font>
        <color theme="0"/>
      </font>
      <fill>
        <patternFill>
          <bgColor theme="3"/>
        </patternFill>
      </fill>
    </dxf>
    <dxf>
      <font>
        <color theme="1"/>
      </font>
      <border diagonalUp="0" diagonalDown="0">
        <left/>
        <right/>
        <top/>
        <bottom/>
        <vertical style="thin">
          <color theme="0"/>
        </vertical>
        <horizontal/>
      </border>
    </dxf>
  </dxfs>
  <tableStyles count="1" defaultPivotStyle="PivotStyleLight16">
    <tableStyle name="Tableau des absences des employés" pivot="0" count="13" xr9:uid="{00000000-0011-0000-FFFF-FFFF00000000}">
      <tableStyleElement type="wholeTable" dxfId="902"/>
      <tableStyleElement type="headerRow" dxfId="901"/>
      <tableStyleElement type="totalRow" dxfId="900"/>
      <tableStyleElement type="firstColumn" dxfId="899"/>
      <tableStyleElement type="lastColumn" dxfId="898"/>
      <tableStyleElement type="firstRowStripe" dxfId="897"/>
      <tableStyleElement type="secondRowStripe" dxfId="896"/>
      <tableStyleElement type="firstColumnStripe" dxfId="895"/>
      <tableStyleElement type="secondColumnStripe" dxfId="894"/>
      <tableStyleElement type="firstHeaderCell" dxfId="893"/>
      <tableStyleElement type="lastHeaderCell" dxfId="892"/>
      <tableStyleElement type="firstTotalCell" dxfId="891"/>
      <tableStyleElement type="lastTotalCell" dxfId="89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Janvier" displayName="Janvier" ref="B6:AH12" totalsRowCount="1" headerRowDxfId="884" dataDxfId="883" totalsRowDxfId="882">
  <autoFilter ref="B6:AH1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000-000001000000}" name="Nom de l’employé" totalsRowFunction="custom" dataDxfId="881" totalsRowDxfId="880" dataCellStyle="Employé">
      <totalsRowFormula>NomMois&amp;" Total"</totalsRowFormula>
    </tableColumn>
    <tableColumn id="2" xr3:uid="{00000000-0010-0000-0000-000002000000}" name="1" totalsRowFunction="custom" dataDxfId="879" totalsRowDxfId="878">
      <totalsRowFormula>SUBTOTAL(103,Janvier!$C$7:$C$11)</totalsRowFormula>
    </tableColumn>
    <tableColumn id="3" xr3:uid="{00000000-0010-0000-0000-000003000000}" name="2" totalsRowFunction="custom" dataDxfId="877" totalsRowDxfId="876">
      <totalsRowFormula>SUBTOTAL(103,Janvier!$D$7:$D$11)</totalsRowFormula>
    </tableColumn>
    <tableColumn id="4" xr3:uid="{00000000-0010-0000-0000-000004000000}" name="3" totalsRowFunction="custom" dataDxfId="875" totalsRowDxfId="874">
      <totalsRowFormula>SUBTOTAL(103,Janvier!$E$7:$E$11)</totalsRowFormula>
    </tableColumn>
    <tableColumn id="5" xr3:uid="{00000000-0010-0000-0000-000005000000}" name="4" totalsRowFunction="custom" dataDxfId="873" totalsRowDxfId="872">
      <totalsRowFormula>SUBTOTAL(103,Janvier!$F$7:$F$11)</totalsRowFormula>
    </tableColumn>
    <tableColumn id="6" xr3:uid="{00000000-0010-0000-0000-000006000000}" name="5" totalsRowFunction="custom" totalsRowDxfId="871">
      <totalsRowFormula>SUBTOTAL(103,Janvier!$G$7:$G$11)</totalsRowFormula>
    </tableColumn>
    <tableColumn id="7" xr3:uid="{00000000-0010-0000-0000-000007000000}" name="6" totalsRowFunction="custom" dataDxfId="870" totalsRowDxfId="869">
      <totalsRowFormula>SUBTOTAL(103,Janvier!$H$7:$H$11)</totalsRowFormula>
    </tableColumn>
    <tableColumn id="8" xr3:uid="{00000000-0010-0000-0000-000008000000}" name="7" totalsRowFunction="custom" dataDxfId="868" totalsRowDxfId="867">
      <totalsRowFormula>SUBTOTAL(103,Janvier!$I$7:$I$11)</totalsRowFormula>
    </tableColumn>
    <tableColumn id="9" xr3:uid="{00000000-0010-0000-0000-000009000000}" name="8" totalsRowFunction="custom" dataDxfId="866" totalsRowDxfId="865">
      <totalsRowFormula>SUBTOTAL(103,Janvier!$J$7:$J$11)</totalsRowFormula>
    </tableColumn>
    <tableColumn id="10" xr3:uid="{00000000-0010-0000-0000-00000A000000}" name="9" totalsRowFunction="custom" dataDxfId="864" totalsRowDxfId="863">
      <totalsRowFormula>SUBTOTAL(103,Janvier!$K$7:$K$11)</totalsRowFormula>
    </tableColumn>
    <tableColumn id="11" xr3:uid="{00000000-0010-0000-0000-00000B000000}" name="10" totalsRowFunction="custom" dataDxfId="862" totalsRowDxfId="861">
      <totalsRowFormula>SUBTOTAL(103,Janvier!$L$7:$L$11)</totalsRowFormula>
    </tableColumn>
    <tableColumn id="12" xr3:uid="{00000000-0010-0000-0000-00000C000000}" name="11" totalsRowFunction="custom" dataDxfId="860" totalsRowDxfId="859">
      <totalsRowFormula>SUBTOTAL(103,Janvier!$M$7:$M$11)</totalsRowFormula>
    </tableColumn>
    <tableColumn id="13" xr3:uid="{00000000-0010-0000-0000-00000D000000}" name="12" totalsRowFunction="custom" dataDxfId="858" totalsRowDxfId="857">
      <totalsRowFormula>SUBTOTAL(103,Janvier!$N$7:$N$11)</totalsRowFormula>
    </tableColumn>
    <tableColumn id="14" xr3:uid="{00000000-0010-0000-0000-00000E000000}" name="13" totalsRowFunction="custom" dataDxfId="856" totalsRowDxfId="855">
      <totalsRowFormula>SUBTOTAL(103,Janvier!$O$7:$O$11)</totalsRowFormula>
    </tableColumn>
    <tableColumn id="15" xr3:uid="{00000000-0010-0000-0000-00000F000000}" name="14" totalsRowFunction="custom" dataDxfId="854" totalsRowDxfId="853">
      <totalsRowFormula>SUBTOTAL(103,Janvier!$P$7:$P$11)</totalsRowFormula>
    </tableColumn>
    <tableColumn id="16" xr3:uid="{00000000-0010-0000-0000-000010000000}" name="15" totalsRowFunction="custom" dataDxfId="852" totalsRowDxfId="851">
      <totalsRowFormula>SUBTOTAL(103,Janvier!$Q$7:$Q$11)</totalsRowFormula>
    </tableColumn>
    <tableColumn id="17" xr3:uid="{00000000-0010-0000-0000-000011000000}" name="16" totalsRowFunction="custom" dataDxfId="850" totalsRowDxfId="849">
      <totalsRowFormula>SUBTOTAL(103,Janvier!$R$7:$R$11)</totalsRowFormula>
    </tableColumn>
    <tableColumn id="18" xr3:uid="{00000000-0010-0000-0000-000012000000}" name="17" totalsRowFunction="custom" dataDxfId="848" totalsRowDxfId="847">
      <totalsRowFormula>SUBTOTAL(103,Janvier!$S$7:$S$11)</totalsRowFormula>
    </tableColumn>
    <tableColumn id="19" xr3:uid="{00000000-0010-0000-0000-000013000000}" name="18" totalsRowFunction="custom" dataDxfId="846" totalsRowDxfId="845">
      <totalsRowFormula>SUBTOTAL(103,Janvier!$T$7:$T$11)</totalsRowFormula>
    </tableColumn>
    <tableColumn id="20" xr3:uid="{00000000-0010-0000-0000-000014000000}" name="19" totalsRowFunction="custom" dataDxfId="844" totalsRowDxfId="843">
      <totalsRowFormula>SUBTOTAL(103,Janvier!$U$7:$U$11)</totalsRowFormula>
    </tableColumn>
    <tableColumn id="21" xr3:uid="{00000000-0010-0000-0000-000015000000}" name="20" totalsRowFunction="custom" dataDxfId="842" totalsRowDxfId="841">
      <totalsRowFormula>SUBTOTAL(103,Janvier!$V$7:$V$11)</totalsRowFormula>
    </tableColumn>
    <tableColumn id="22" xr3:uid="{00000000-0010-0000-0000-000016000000}" name="21" totalsRowFunction="custom" dataDxfId="840" totalsRowDxfId="839">
      <totalsRowFormula>SUBTOTAL(103,Janvier!$W$7:$W$11)</totalsRowFormula>
    </tableColumn>
    <tableColumn id="23" xr3:uid="{00000000-0010-0000-0000-000017000000}" name="22" totalsRowFunction="custom" dataDxfId="838" totalsRowDxfId="837">
      <totalsRowFormula>SUBTOTAL(103,Janvier!$X$7:$X$11)</totalsRowFormula>
    </tableColumn>
    <tableColumn id="24" xr3:uid="{00000000-0010-0000-0000-000018000000}" name="23" totalsRowFunction="custom" dataDxfId="836" totalsRowDxfId="835">
      <totalsRowFormula>SUBTOTAL(103,Janvier!$Y$7:$Y$11)</totalsRowFormula>
    </tableColumn>
    <tableColumn id="25" xr3:uid="{00000000-0010-0000-0000-000019000000}" name="24" totalsRowFunction="custom" dataDxfId="834" totalsRowDxfId="833">
      <totalsRowFormula>SUBTOTAL(103,Janvier!$Z$7:$Z$11)</totalsRowFormula>
    </tableColumn>
    <tableColumn id="26" xr3:uid="{00000000-0010-0000-0000-00001A000000}" name="25" totalsRowFunction="custom" dataDxfId="832" totalsRowDxfId="831">
      <totalsRowFormula>SUBTOTAL(103,Janvier!$AA$7:$AA$11)</totalsRowFormula>
    </tableColumn>
    <tableColumn id="27" xr3:uid="{00000000-0010-0000-0000-00001B000000}" name="26" totalsRowFunction="custom" dataDxfId="830" totalsRowDxfId="829">
      <totalsRowFormula>SUBTOTAL(103,Janvier!$AB$7:$AB$11)</totalsRowFormula>
    </tableColumn>
    <tableColumn id="28" xr3:uid="{00000000-0010-0000-0000-00001C000000}" name="27" totalsRowFunction="custom" dataDxfId="828" totalsRowDxfId="827">
      <totalsRowFormula>SUBTOTAL(103,Janvier!$AC$7:$AC$11)</totalsRowFormula>
    </tableColumn>
    <tableColumn id="29" xr3:uid="{00000000-0010-0000-0000-00001D000000}" name="28" totalsRowFunction="custom" dataDxfId="826" totalsRowDxfId="825">
      <totalsRowFormula>SUBTOTAL(103,Janvier!$AD$7:$AD$11)</totalsRowFormula>
    </tableColumn>
    <tableColumn id="30" xr3:uid="{00000000-0010-0000-0000-00001E000000}" name="29" totalsRowFunction="custom" dataDxfId="824" totalsRowDxfId="823">
      <totalsRowFormula>SUBTOTAL(103,Janvier!$AE$7:$AE$11)</totalsRowFormula>
    </tableColumn>
    <tableColumn id="31" xr3:uid="{00000000-0010-0000-0000-00001F000000}" name="30" totalsRowFunction="custom" dataDxfId="822" totalsRowDxfId="821">
      <totalsRowFormula>SUBTOTAL(103,Janvier!$AF$7:$AF$11)</totalsRowFormula>
    </tableColumn>
    <tableColumn id="32" xr3:uid="{00000000-0010-0000-0000-000020000000}" name="31" totalsRowFunction="custom" dataDxfId="820" totalsRowDxfId="819">
      <totalsRowFormula>SUBTOTAL(103,Janvier!$AG$7:$AG$11)</totalsRowFormula>
    </tableColumn>
    <tableColumn id="33" xr3:uid="{00000000-0010-0000-0000-000021000000}" name="Total des jours" totalsRowFunction="sum" dataDxfId="818" totalsRowDxfId="817">
      <calculatedColumnFormula>COUNTA(Janvier!$C7:$AG7)</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Octobre" displayName="Octobre" ref="B6:AH12" totalsRowCount="1" headerRowDxfId="217" dataDxfId="216" totalsRowDxfId="215">
  <tableColumns count="33">
    <tableColumn id="1" xr3:uid="{00000000-0010-0000-0900-000001000000}" name="Nom de l’employé" totalsRowFunction="custom" dataDxfId="214" totalsRowDxfId="213" dataCellStyle="Employé">
      <totalsRowFormula>NomMois&amp;" Total"</totalsRowFormula>
    </tableColumn>
    <tableColumn id="2" xr3:uid="{00000000-0010-0000-0900-000002000000}" name="1" totalsRowFunction="count" dataDxfId="212" totalsRowDxfId="211"/>
    <tableColumn id="3" xr3:uid="{00000000-0010-0000-0900-000003000000}" name="2" totalsRowFunction="count" dataDxfId="210" totalsRowDxfId="209"/>
    <tableColumn id="4" xr3:uid="{00000000-0010-0000-0900-000004000000}" name="3" totalsRowFunction="count" dataDxfId="208" totalsRowDxfId="207"/>
    <tableColumn id="5" xr3:uid="{00000000-0010-0000-0900-000005000000}" name="4" totalsRowFunction="count" dataDxfId="206" totalsRowDxfId="205"/>
    <tableColumn id="6" xr3:uid="{00000000-0010-0000-0900-000006000000}" name="5" totalsRowFunction="count" dataDxfId="204" totalsRowDxfId="203"/>
    <tableColumn id="7" xr3:uid="{00000000-0010-0000-0900-000007000000}" name="6" totalsRowFunction="count" dataDxfId="202" totalsRowDxfId="201"/>
    <tableColumn id="8" xr3:uid="{00000000-0010-0000-0900-000008000000}" name="7" totalsRowFunction="count" dataDxfId="200" totalsRowDxfId="199"/>
    <tableColumn id="9" xr3:uid="{00000000-0010-0000-0900-000009000000}" name="8" totalsRowFunction="count" dataDxfId="198" totalsRowDxfId="197"/>
    <tableColumn id="10" xr3:uid="{00000000-0010-0000-0900-00000A000000}" name="9" totalsRowFunction="count" dataDxfId="196" totalsRowDxfId="195"/>
    <tableColumn id="11" xr3:uid="{00000000-0010-0000-0900-00000B000000}" name="10" totalsRowFunction="count" dataDxfId="194" totalsRowDxfId="193"/>
    <tableColumn id="12" xr3:uid="{00000000-0010-0000-0900-00000C000000}" name="11" totalsRowFunction="count" dataDxfId="192" totalsRowDxfId="191"/>
    <tableColumn id="13" xr3:uid="{00000000-0010-0000-0900-00000D000000}" name="12" totalsRowFunction="count" dataDxfId="190" totalsRowDxfId="189"/>
    <tableColumn id="14" xr3:uid="{00000000-0010-0000-0900-00000E000000}" name="13" totalsRowFunction="count" dataDxfId="188" totalsRowDxfId="187"/>
    <tableColumn id="15" xr3:uid="{00000000-0010-0000-0900-00000F000000}" name="14" totalsRowFunction="count" dataDxfId="186" totalsRowDxfId="185"/>
    <tableColumn id="16" xr3:uid="{00000000-0010-0000-0900-000010000000}" name="15" totalsRowFunction="count" dataDxfId="184" totalsRowDxfId="183"/>
    <tableColumn id="17" xr3:uid="{00000000-0010-0000-0900-000011000000}" name="16" totalsRowFunction="count" dataDxfId="182" totalsRowDxfId="181"/>
    <tableColumn id="18" xr3:uid="{00000000-0010-0000-0900-000012000000}" name="17" totalsRowFunction="count" dataDxfId="180" totalsRowDxfId="179"/>
    <tableColumn id="19" xr3:uid="{00000000-0010-0000-0900-000013000000}" name="18" totalsRowFunction="count" dataDxfId="178" totalsRowDxfId="177"/>
    <tableColumn id="20" xr3:uid="{00000000-0010-0000-0900-000014000000}" name="19" totalsRowFunction="count" dataDxfId="176" totalsRowDxfId="175"/>
    <tableColumn id="21" xr3:uid="{00000000-0010-0000-0900-000015000000}" name="20" totalsRowFunction="count" dataDxfId="174" totalsRowDxfId="173"/>
    <tableColumn id="22" xr3:uid="{00000000-0010-0000-0900-000016000000}" name="21" totalsRowFunction="count" dataDxfId="172" totalsRowDxfId="171"/>
    <tableColumn id="23" xr3:uid="{00000000-0010-0000-0900-000017000000}" name="22" totalsRowFunction="count" dataDxfId="170" totalsRowDxfId="169"/>
    <tableColumn id="24" xr3:uid="{00000000-0010-0000-0900-000018000000}" name="23" totalsRowFunction="count" dataDxfId="168" totalsRowDxfId="167"/>
    <tableColumn id="25" xr3:uid="{00000000-0010-0000-0900-000019000000}" name="24" totalsRowFunction="count" dataDxfId="166" totalsRowDxfId="165"/>
    <tableColumn id="26" xr3:uid="{00000000-0010-0000-0900-00001A000000}" name="25" totalsRowFunction="count" dataDxfId="164" totalsRowDxfId="163"/>
    <tableColumn id="27" xr3:uid="{00000000-0010-0000-0900-00001B000000}" name="26" totalsRowFunction="count" dataDxfId="162" totalsRowDxfId="161"/>
    <tableColumn id="28" xr3:uid="{00000000-0010-0000-0900-00001C000000}" name="27" totalsRowFunction="count" dataDxfId="160" totalsRowDxfId="159"/>
    <tableColumn id="29" xr3:uid="{00000000-0010-0000-0900-00001D000000}" name="28" totalsRowFunction="count" dataDxfId="158" totalsRowDxfId="157"/>
    <tableColumn id="30" xr3:uid="{00000000-0010-0000-0900-00001E000000}" name="29" totalsRowFunction="count" dataDxfId="156" totalsRowDxfId="155"/>
    <tableColumn id="31" xr3:uid="{00000000-0010-0000-0900-00001F000000}" name="30" totalsRowFunction="count" dataDxfId="154" totalsRowDxfId="153"/>
    <tableColumn id="32" xr3:uid="{00000000-0010-0000-0900-000020000000}" name="31" totalsRowFunction="count" dataDxfId="152" totalsRowDxfId="151"/>
    <tableColumn id="33" xr3:uid="{00000000-0010-0000-0900-000021000000}" name="Total des jours" totalsRowFunction="sum" dataDxfId="150" totalsRowDxfId="149">
      <calculatedColumnFormula>COUNTA(Octobre[[#This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Novembre" displayName="Novembre" ref="B6:AH12" totalsRowCount="1" headerRowDxfId="143" dataDxfId="142" totalsRowDxfId="141">
  <tableColumns count="33">
    <tableColumn id="1" xr3:uid="{00000000-0010-0000-0A00-000001000000}" name="Nom de l’employé" totalsRowFunction="custom" dataDxfId="140" totalsRowDxfId="139" dataCellStyle="Employé">
      <totalsRowFormula>NomMois&amp;" Total"</totalsRowFormula>
    </tableColumn>
    <tableColumn id="2" xr3:uid="{00000000-0010-0000-0A00-000002000000}" name="1" totalsRowFunction="count" dataDxfId="138" totalsRowDxfId="137"/>
    <tableColumn id="3" xr3:uid="{00000000-0010-0000-0A00-000003000000}" name="2" totalsRowFunction="count" dataDxfId="136" totalsRowDxfId="135"/>
    <tableColumn id="4" xr3:uid="{00000000-0010-0000-0A00-000004000000}" name="3" totalsRowFunction="count" dataDxfId="134" totalsRowDxfId="133"/>
    <tableColumn id="5" xr3:uid="{00000000-0010-0000-0A00-000005000000}" name="4" totalsRowFunction="count" dataDxfId="132" totalsRowDxfId="131"/>
    <tableColumn id="6" xr3:uid="{00000000-0010-0000-0A00-000006000000}" name="5" totalsRowFunction="count" dataDxfId="130" totalsRowDxfId="129"/>
    <tableColumn id="7" xr3:uid="{00000000-0010-0000-0A00-000007000000}" name="6" totalsRowFunction="count" dataDxfId="128" totalsRowDxfId="127"/>
    <tableColumn id="8" xr3:uid="{00000000-0010-0000-0A00-000008000000}" name="7" totalsRowFunction="count" dataDxfId="126" totalsRowDxfId="125"/>
    <tableColumn id="9" xr3:uid="{00000000-0010-0000-0A00-000009000000}" name="8" totalsRowFunction="count" dataDxfId="124" totalsRowDxfId="123"/>
    <tableColumn id="10" xr3:uid="{00000000-0010-0000-0A00-00000A000000}" name="9" totalsRowFunction="count" dataDxfId="122" totalsRowDxfId="121"/>
    <tableColumn id="11" xr3:uid="{00000000-0010-0000-0A00-00000B000000}" name="10" totalsRowFunction="count" dataDxfId="120" totalsRowDxfId="119"/>
    <tableColumn id="12" xr3:uid="{00000000-0010-0000-0A00-00000C000000}" name="11" totalsRowFunction="count" dataDxfId="118" totalsRowDxfId="117"/>
    <tableColumn id="13" xr3:uid="{00000000-0010-0000-0A00-00000D000000}" name="12" totalsRowFunction="count" dataDxfId="116" totalsRowDxfId="115"/>
    <tableColumn id="14" xr3:uid="{00000000-0010-0000-0A00-00000E000000}" name="13" totalsRowFunction="count" dataDxfId="114" totalsRowDxfId="113"/>
    <tableColumn id="15" xr3:uid="{00000000-0010-0000-0A00-00000F000000}" name="14" totalsRowFunction="count" dataDxfId="112" totalsRowDxfId="111"/>
    <tableColumn id="16" xr3:uid="{00000000-0010-0000-0A00-000010000000}" name="15" totalsRowFunction="count" dataDxfId="110" totalsRowDxfId="109"/>
    <tableColumn id="17" xr3:uid="{00000000-0010-0000-0A00-000011000000}" name="16" totalsRowFunction="count" dataDxfId="108" totalsRowDxfId="107"/>
    <tableColumn id="18" xr3:uid="{00000000-0010-0000-0A00-000012000000}" name="17" totalsRowFunction="count" dataDxfId="106" totalsRowDxfId="105"/>
    <tableColumn id="19" xr3:uid="{00000000-0010-0000-0A00-000013000000}" name="18" totalsRowFunction="count" dataDxfId="104" totalsRowDxfId="103"/>
    <tableColumn id="20" xr3:uid="{00000000-0010-0000-0A00-000014000000}" name="19" totalsRowFunction="count" dataDxfId="102" totalsRowDxfId="101"/>
    <tableColumn id="21" xr3:uid="{00000000-0010-0000-0A00-000015000000}" name="20" totalsRowFunction="count" dataDxfId="100" totalsRowDxfId="99"/>
    <tableColumn id="22" xr3:uid="{00000000-0010-0000-0A00-000016000000}" name="21" totalsRowFunction="count" dataDxfId="98" totalsRowDxfId="97"/>
    <tableColumn id="23" xr3:uid="{00000000-0010-0000-0A00-000017000000}" name="22" totalsRowFunction="count" dataDxfId="96" totalsRowDxfId="95"/>
    <tableColumn id="24" xr3:uid="{00000000-0010-0000-0A00-000018000000}" name="23" totalsRowFunction="count" dataDxfId="94" totalsRowDxfId="93"/>
    <tableColumn id="25" xr3:uid="{00000000-0010-0000-0A00-000019000000}" name="24" totalsRowFunction="count" dataDxfId="92" totalsRowDxfId="91"/>
    <tableColumn id="26" xr3:uid="{00000000-0010-0000-0A00-00001A000000}" name="25" totalsRowFunction="count" dataDxfId="90" totalsRowDxfId="89"/>
    <tableColumn id="27" xr3:uid="{00000000-0010-0000-0A00-00001B000000}" name="26" totalsRowFunction="count" dataDxfId="88" totalsRowDxfId="87"/>
    <tableColumn id="28" xr3:uid="{00000000-0010-0000-0A00-00001C000000}" name="27" totalsRowFunction="count" dataDxfId="86" totalsRowDxfId="85"/>
    <tableColumn id="29" xr3:uid="{00000000-0010-0000-0A00-00001D000000}" name="28" totalsRowFunction="count" dataDxfId="84" totalsRowDxfId="83"/>
    <tableColumn id="30" xr3:uid="{00000000-0010-0000-0A00-00001E000000}" name="29" totalsRowFunction="count" dataDxfId="82" totalsRowDxfId="81"/>
    <tableColumn id="31" xr3:uid="{00000000-0010-0000-0A00-00001F000000}" name="30" totalsRowFunction="count" dataDxfId="80" totalsRowDxfId="79"/>
    <tableColumn id="32" xr3:uid="{00000000-0010-0000-0A00-000020000000}" name=" " totalsRowFunction="count" dataDxfId="78" totalsRowDxfId="77"/>
    <tableColumn id="33" xr3:uid="{00000000-0010-0000-0A00-000021000000}" name="Total des jours" totalsRowFunction="sum" dataDxfId="76" totalsRowDxfId="75">
      <calculatedColumnFormula>COUNTA(Novembre[[#This Row],[1]:[30]])</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écembre" displayName="Décembre" ref="B6:AH12" totalsRowCount="1" headerRowDxfId="69" dataDxfId="68" totalsRowDxfId="67">
  <tableColumns count="33">
    <tableColumn id="1" xr3:uid="{00000000-0010-0000-0B00-000001000000}" name="Nom de l’employé" totalsRowFunction="custom" dataDxfId="66" totalsRowDxfId="65" dataCellStyle="Employé">
      <totalsRowFormula>NomMois&amp;" Total"</totalsRowFormula>
    </tableColumn>
    <tableColumn id="2" xr3:uid="{00000000-0010-0000-0B00-000002000000}" name="1" totalsRowFunction="count" dataDxfId="64" totalsRowDxfId="63"/>
    <tableColumn id="3" xr3:uid="{00000000-0010-0000-0B00-000003000000}" name="2" totalsRowFunction="count" dataDxfId="62" totalsRowDxfId="61"/>
    <tableColumn id="4" xr3:uid="{00000000-0010-0000-0B00-000004000000}" name="3" totalsRowFunction="count" dataDxfId="60" totalsRowDxfId="59"/>
    <tableColumn id="5" xr3:uid="{00000000-0010-0000-0B00-000005000000}" name="4" totalsRowFunction="count" dataDxfId="58" totalsRowDxfId="57"/>
    <tableColumn id="6" xr3:uid="{00000000-0010-0000-0B00-000006000000}" name="5" totalsRowFunction="count" dataDxfId="56" totalsRowDxfId="55"/>
    <tableColumn id="7" xr3:uid="{00000000-0010-0000-0B00-000007000000}" name="6" totalsRowFunction="count" dataDxfId="54" totalsRowDxfId="53"/>
    <tableColumn id="8" xr3:uid="{00000000-0010-0000-0B00-000008000000}" name="7" totalsRowFunction="count" dataDxfId="52" totalsRowDxfId="51"/>
    <tableColumn id="9" xr3:uid="{00000000-0010-0000-0B00-000009000000}" name="8" totalsRowFunction="count" dataDxfId="50" totalsRowDxfId="49"/>
    <tableColumn id="10" xr3:uid="{00000000-0010-0000-0B00-00000A000000}" name="9" totalsRowFunction="count" dataDxfId="48" totalsRowDxfId="47"/>
    <tableColumn id="11" xr3:uid="{00000000-0010-0000-0B00-00000B000000}" name="10" totalsRowFunction="count" dataDxfId="46" totalsRowDxfId="45"/>
    <tableColumn id="12" xr3:uid="{00000000-0010-0000-0B00-00000C000000}" name="11" totalsRowFunction="count" dataDxfId="44" totalsRowDxfId="43"/>
    <tableColumn id="13" xr3:uid="{00000000-0010-0000-0B00-00000D000000}" name="12" totalsRowFunction="count" dataDxfId="42" totalsRowDxfId="41"/>
    <tableColumn id="14" xr3:uid="{00000000-0010-0000-0B00-00000E000000}" name="13" totalsRowFunction="count" dataDxfId="40" totalsRowDxfId="39"/>
    <tableColumn id="15" xr3:uid="{00000000-0010-0000-0B00-00000F000000}" name="14" totalsRowFunction="count" dataDxfId="38" totalsRowDxfId="37"/>
    <tableColumn id="16" xr3:uid="{00000000-0010-0000-0B00-000010000000}" name="15" totalsRowFunction="count" dataDxfId="36" totalsRowDxfId="35"/>
    <tableColumn id="17" xr3:uid="{00000000-0010-0000-0B00-000011000000}" name="16" totalsRowFunction="count" dataDxfId="34" totalsRowDxfId="33"/>
    <tableColumn id="18" xr3:uid="{00000000-0010-0000-0B00-000012000000}" name="17" totalsRowFunction="count" dataDxfId="32" totalsRowDxfId="31"/>
    <tableColumn id="19" xr3:uid="{00000000-0010-0000-0B00-000013000000}" name="18" totalsRowFunction="count" dataDxfId="30" totalsRowDxfId="29"/>
    <tableColumn id="20" xr3:uid="{00000000-0010-0000-0B00-000014000000}" name="19" totalsRowFunction="count" dataDxfId="28" totalsRowDxfId="27"/>
    <tableColumn id="21" xr3:uid="{00000000-0010-0000-0B00-000015000000}" name="20" totalsRowFunction="count" dataDxfId="26" totalsRowDxfId="25"/>
    <tableColumn id="22" xr3:uid="{00000000-0010-0000-0B00-000016000000}" name="21" totalsRowFunction="count" dataDxfId="24" totalsRowDxfId="23"/>
    <tableColumn id="23" xr3:uid="{00000000-0010-0000-0B00-000017000000}" name="22" totalsRowFunction="count" dataDxfId="22" totalsRowDxfId="21"/>
    <tableColumn id="24" xr3:uid="{00000000-0010-0000-0B00-000018000000}" name="23" totalsRowFunction="count" dataDxfId="20" totalsRowDxfId="19"/>
    <tableColumn id="25" xr3:uid="{00000000-0010-0000-0B00-000019000000}" name="24" totalsRowFunction="count" dataDxfId="18" totalsRowDxfId="17"/>
    <tableColumn id="26" xr3:uid="{00000000-0010-0000-0B00-00001A000000}" name="25" totalsRowFunction="count" dataDxfId="16" totalsRowDxfId="15"/>
    <tableColumn id="27" xr3:uid="{00000000-0010-0000-0B00-00001B000000}" name="26" totalsRowFunction="count" dataDxfId="14" totalsRowDxfId="13"/>
    <tableColumn id="28" xr3:uid="{00000000-0010-0000-0B00-00001C000000}" name="27" totalsRowFunction="count" dataDxfId="12" totalsRowDxfId="11"/>
    <tableColumn id="29" xr3:uid="{00000000-0010-0000-0B00-00001D000000}" name="28" totalsRowFunction="count" dataDxfId="10" totalsRowDxfId="9"/>
    <tableColumn id="30" xr3:uid="{00000000-0010-0000-0B00-00001E000000}" name="29" totalsRowFunction="count" dataDxfId="8" totalsRowDxfId="7"/>
    <tableColumn id="31" xr3:uid="{00000000-0010-0000-0B00-00001F000000}" name="30" totalsRowFunction="count" dataDxfId="6" totalsRowDxfId="5"/>
    <tableColumn id="32" xr3:uid="{00000000-0010-0000-0B00-000020000000}" name="31" totalsRowFunction="count" dataDxfId="4" totalsRowDxfId="3"/>
    <tableColumn id="33" xr3:uid="{00000000-0010-0000-0B00-000021000000}" name="Total des jours" totalsRowFunction="sum" dataDxfId="2" totalsRowDxfId="1">
      <calculatedColumnFormula>COUNTA(Décembre[[#This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Fournit une liste de noms et des dates de calendrier pour enregistrer les absences et motifs d’absence des employés (C= Congé, M=Maladie, P=Personnel, et deux espaces réservés pour des entrées personnalisé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NomEmployé" displayName="NomEmployé" ref="B3:B8">
  <autoFilter ref="B3:B8" xr:uid="{00000000-0009-0000-0100-00000D000000}"/>
  <tableColumns count="1">
    <tableColumn id="1" xr3:uid="{00000000-0010-0000-0C00-000001000000}" name="Noms des employés" totalsRowFunction="count" totalsRowDxfId="0" dataCellStyle="Employé"/>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dans ce tableau. Ces noms sont utilisés en tant qu’options dans la colonne B du calendrier des absences de chaque moi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évrier" displayName="Février" ref="B6:AH12" totalsRowCount="1" headerRowDxfId="809" dataDxfId="808" totalsRowDxfId="807">
  <tableColumns count="33">
    <tableColumn id="1" xr3:uid="{00000000-0010-0000-0100-000001000000}" name="Nom de l’employé" totalsRowFunction="custom" dataDxfId="806" totalsRowDxfId="805" dataCellStyle="Employé">
      <totalsRowFormula>NomMois&amp;" Total"</totalsRowFormula>
    </tableColumn>
    <tableColumn id="2" xr3:uid="{00000000-0010-0000-0100-000002000000}" name="1" totalsRowFunction="count" dataDxfId="804" totalsRowDxfId="803"/>
    <tableColumn id="3" xr3:uid="{00000000-0010-0000-0100-000003000000}" name="2" totalsRowFunction="count" dataDxfId="802" totalsRowDxfId="801"/>
    <tableColumn id="4" xr3:uid="{00000000-0010-0000-0100-000004000000}" name="3" totalsRowFunction="count" dataDxfId="800" totalsRowDxfId="799"/>
    <tableColumn id="5" xr3:uid="{00000000-0010-0000-0100-000005000000}" name="4" totalsRowFunction="count" dataDxfId="798" totalsRowDxfId="797"/>
    <tableColumn id="6" xr3:uid="{00000000-0010-0000-0100-000006000000}" name="5" totalsRowFunction="count" dataDxfId="796" totalsRowDxfId="795"/>
    <tableColumn id="7" xr3:uid="{00000000-0010-0000-0100-000007000000}" name="6" totalsRowFunction="count" dataDxfId="794" totalsRowDxfId="793"/>
    <tableColumn id="8" xr3:uid="{00000000-0010-0000-0100-000008000000}" name="7" totalsRowFunction="count" dataDxfId="792" totalsRowDxfId="791"/>
    <tableColumn id="9" xr3:uid="{00000000-0010-0000-0100-000009000000}" name="8" totalsRowFunction="count" dataDxfId="790" totalsRowDxfId="789"/>
    <tableColumn id="10" xr3:uid="{00000000-0010-0000-0100-00000A000000}" name="9" totalsRowFunction="count" dataDxfId="788" totalsRowDxfId="787"/>
    <tableColumn id="11" xr3:uid="{00000000-0010-0000-0100-00000B000000}" name="10" totalsRowFunction="count" dataDxfId="786" totalsRowDxfId="785"/>
    <tableColumn id="12" xr3:uid="{00000000-0010-0000-0100-00000C000000}" name="11" totalsRowFunction="count" dataDxfId="784" totalsRowDxfId="783"/>
    <tableColumn id="13" xr3:uid="{00000000-0010-0000-0100-00000D000000}" name="12" totalsRowFunction="count" dataDxfId="782" totalsRowDxfId="781"/>
    <tableColumn id="14" xr3:uid="{00000000-0010-0000-0100-00000E000000}" name="13" totalsRowFunction="count" dataDxfId="780" totalsRowDxfId="779"/>
    <tableColumn id="15" xr3:uid="{00000000-0010-0000-0100-00000F000000}" name="14" totalsRowFunction="count" dataDxfId="778" totalsRowDxfId="777"/>
    <tableColumn id="16" xr3:uid="{00000000-0010-0000-0100-000010000000}" name="15" totalsRowFunction="count" dataDxfId="776" totalsRowDxfId="775"/>
    <tableColumn id="17" xr3:uid="{00000000-0010-0000-0100-000011000000}" name="16" totalsRowFunction="count" dataDxfId="774" totalsRowDxfId="773"/>
    <tableColumn id="18" xr3:uid="{00000000-0010-0000-0100-000012000000}" name="17" totalsRowFunction="count" dataDxfId="772" totalsRowDxfId="771"/>
    <tableColumn id="19" xr3:uid="{00000000-0010-0000-0100-000013000000}" name="18" totalsRowFunction="count" dataDxfId="770" totalsRowDxfId="769"/>
    <tableColumn id="20" xr3:uid="{00000000-0010-0000-0100-000014000000}" name="19" totalsRowFunction="count" dataDxfId="768" totalsRowDxfId="767"/>
    <tableColumn id="21" xr3:uid="{00000000-0010-0000-0100-000015000000}" name="20" totalsRowFunction="count" dataDxfId="766" totalsRowDxfId="765"/>
    <tableColumn id="22" xr3:uid="{00000000-0010-0000-0100-000016000000}" name="21" totalsRowFunction="count" dataDxfId="764" totalsRowDxfId="763"/>
    <tableColumn id="23" xr3:uid="{00000000-0010-0000-0100-000017000000}" name="22" totalsRowFunction="count" dataDxfId="762" totalsRowDxfId="761"/>
    <tableColumn id="24" xr3:uid="{00000000-0010-0000-0100-000018000000}" name="23" totalsRowFunction="count" dataDxfId="760" totalsRowDxfId="759"/>
    <tableColumn id="25" xr3:uid="{00000000-0010-0000-0100-000019000000}" name="24" totalsRowFunction="count" dataDxfId="758" totalsRowDxfId="757"/>
    <tableColumn id="26" xr3:uid="{00000000-0010-0000-0100-00001A000000}" name="25" totalsRowFunction="count" dataDxfId="756" totalsRowDxfId="755"/>
    <tableColumn id="27" xr3:uid="{00000000-0010-0000-0100-00001B000000}" name="26" totalsRowFunction="count" dataDxfId="754" totalsRowDxfId="753"/>
    <tableColumn id="28" xr3:uid="{00000000-0010-0000-0100-00001C000000}" name="27" totalsRowFunction="count" dataDxfId="752" totalsRowDxfId="751"/>
    <tableColumn id="29" xr3:uid="{00000000-0010-0000-0100-00001D000000}" name="28" totalsRowFunction="count" dataDxfId="750" totalsRowDxfId="749"/>
    <tableColumn id="30" xr3:uid="{00000000-0010-0000-0100-00001E000000}" name="29" totalsRowFunction="count" dataDxfId="748" totalsRowDxfId="747"/>
    <tableColumn id="31" xr3:uid="{00000000-0010-0000-0100-00001F000000}" name=" " dataDxfId="746" totalsRowDxfId="745"/>
    <tableColumn id="32" xr3:uid="{00000000-0010-0000-0100-000020000000}" name="  " dataDxfId="744" totalsRowDxfId="743"/>
    <tableColumn id="33" xr3:uid="{00000000-0010-0000-0100-000021000000}" name="Total des jours" totalsRowFunction="sum" dataDxfId="742" totalsRowDxfId="741">
      <calculatedColumnFormula>COUNTA(Février[[#This Row],[1]:[29]])</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Mars" displayName="Mars" ref="B6:AH12" totalsRowCount="1" headerRowDxfId="735" dataDxfId="734" totalsRowDxfId="733">
  <tableColumns count="33">
    <tableColumn id="1" xr3:uid="{00000000-0010-0000-0200-000001000000}" name="Nom de l’employé" totalsRowFunction="custom" dataDxfId="732" totalsRowDxfId="731" dataCellStyle="Employé">
      <totalsRowFormula>NomMois&amp;" Total"</totalsRowFormula>
    </tableColumn>
    <tableColumn id="2" xr3:uid="{00000000-0010-0000-0200-000002000000}" name="1" totalsRowFunction="count" dataDxfId="730" totalsRowDxfId="729"/>
    <tableColumn id="3" xr3:uid="{00000000-0010-0000-0200-000003000000}" name="2" totalsRowFunction="count" dataDxfId="728" totalsRowDxfId="727"/>
    <tableColumn id="4" xr3:uid="{00000000-0010-0000-0200-000004000000}" name="3" totalsRowFunction="count" dataDxfId="726" totalsRowDxfId="725"/>
    <tableColumn id="5" xr3:uid="{00000000-0010-0000-0200-000005000000}" name="4" totalsRowFunction="count" dataDxfId="724" totalsRowDxfId="723"/>
    <tableColumn id="6" xr3:uid="{00000000-0010-0000-0200-000006000000}" name="5" totalsRowFunction="count" dataDxfId="722" totalsRowDxfId="721"/>
    <tableColumn id="7" xr3:uid="{00000000-0010-0000-0200-000007000000}" name="6" totalsRowFunction="count" dataDxfId="720" totalsRowDxfId="719"/>
    <tableColumn id="8" xr3:uid="{00000000-0010-0000-0200-000008000000}" name="7" totalsRowFunction="count" dataDxfId="718" totalsRowDxfId="717"/>
    <tableColumn id="9" xr3:uid="{00000000-0010-0000-0200-000009000000}" name="8" totalsRowFunction="count" dataDxfId="716" totalsRowDxfId="715"/>
    <tableColumn id="10" xr3:uid="{00000000-0010-0000-0200-00000A000000}" name="9" totalsRowFunction="count" dataDxfId="714" totalsRowDxfId="713"/>
    <tableColumn id="11" xr3:uid="{00000000-0010-0000-0200-00000B000000}" name="10" totalsRowFunction="count" dataDxfId="712" totalsRowDxfId="711"/>
    <tableColumn id="12" xr3:uid="{00000000-0010-0000-0200-00000C000000}" name="11" totalsRowFunction="count" dataDxfId="710" totalsRowDxfId="709"/>
    <tableColumn id="13" xr3:uid="{00000000-0010-0000-0200-00000D000000}" name="12" totalsRowFunction="count" dataDxfId="708" totalsRowDxfId="707"/>
    <tableColumn id="14" xr3:uid="{00000000-0010-0000-0200-00000E000000}" name="13" totalsRowFunction="count" dataDxfId="706" totalsRowDxfId="705"/>
    <tableColumn id="15" xr3:uid="{00000000-0010-0000-0200-00000F000000}" name="14" totalsRowFunction="count" dataDxfId="704" totalsRowDxfId="703"/>
    <tableColumn id="16" xr3:uid="{00000000-0010-0000-0200-000010000000}" name="15" totalsRowFunction="count" dataDxfId="702" totalsRowDxfId="701"/>
    <tableColumn id="17" xr3:uid="{00000000-0010-0000-0200-000011000000}" name="16" totalsRowFunction="count" dataDxfId="700" totalsRowDxfId="699"/>
    <tableColumn id="18" xr3:uid="{00000000-0010-0000-0200-000012000000}" name="17" totalsRowFunction="count" dataDxfId="698" totalsRowDxfId="697"/>
    <tableColumn id="19" xr3:uid="{00000000-0010-0000-0200-000013000000}" name="18" totalsRowFunction="count" dataDxfId="696" totalsRowDxfId="695"/>
    <tableColumn id="20" xr3:uid="{00000000-0010-0000-0200-000014000000}" name="19" totalsRowFunction="count" dataDxfId="694" totalsRowDxfId="693"/>
    <tableColumn id="21" xr3:uid="{00000000-0010-0000-0200-000015000000}" name="20" totalsRowFunction="count" dataDxfId="692" totalsRowDxfId="691"/>
    <tableColumn id="22" xr3:uid="{00000000-0010-0000-0200-000016000000}" name="21" totalsRowFunction="count" dataDxfId="690" totalsRowDxfId="689"/>
    <tableColumn id="23" xr3:uid="{00000000-0010-0000-0200-000017000000}" name="22" totalsRowFunction="count" dataDxfId="688" totalsRowDxfId="687"/>
    <tableColumn id="24" xr3:uid="{00000000-0010-0000-0200-000018000000}" name="23" totalsRowFunction="count" dataDxfId="686" totalsRowDxfId="685"/>
    <tableColumn id="25" xr3:uid="{00000000-0010-0000-0200-000019000000}" name="24" totalsRowFunction="count" dataDxfId="684" totalsRowDxfId="683"/>
    <tableColumn id="26" xr3:uid="{00000000-0010-0000-0200-00001A000000}" name="25" totalsRowFunction="count" dataDxfId="682" totalsRowDxfId="681"/>
    <tableColumn id="27" xr3:uid="{00000000-0010-0000-0200-00001B000000}" name="26" totalsRowFunction="count" dataDxfId="680" totalsRowDxfId="679"/>
    <tableColumn id="28" xr3:uid="{00000000-0010-0000-0200-00001C000000}" name="27" totalsRowFunction="count" dataDxfId="678" totalsRowDxfId="677"/>
    <tableColumn id="29" xr3:uid="{00000000-0010-0000-0200-00001D000000}" name="28" totalsRowFunction="count" dataDxfId="676" totalsRowDxfId="675"/>
    <tableColumn id="30" xr3:uid="{00000000-0010-0000-0200-00001E000000}" name="29" totalsRowFunction="count" dataDxfId="674" totalsRowDxfId="673"/>
    <tableColumn id="31" xr3:uid="{00000000-0010-0000-0200-00001F000000}" name="30" totalsRowFunction="count" dataDxfId="672" totalsRowDxfId="671"/>
    <tableColumn id="32" xr3:uid="{00000000-0010-0000-0200-000020000000}" name="31" totalsRowFunction="count" dataDxfId="670" totalsRowDxfId="669"/>
    <tableColumn id="33" xr3:uid="{00000000-0010-0000-0200-000021000000}" name="Total des jours" totalsRowFunction="sum" dataDxfId="668" totalsRowDxfId="667">
      <calculatedColumnFormula>COUNTA(Mars[[#This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Avril" displayName="Avril" ref="B6:AH12" totalsRowCount="1" headerRowDxfId="661" dataDxfId="660" totalsRowDxfId="659">
  <tableColumns count="33">
    <tableColumn id="1" xr3:uid="{00000000-0010-0000-0300-000001000000}" name="Nom de l’employé" totalsRowFunction="custom" dataDxfId="658" totalsRowDxfId="657" dataCellStyle="Employé">
      <totalsRowFormula>NomMois&amp;" Total"</totalsRowFormula>
    </tableColumn>
    <tableColumn id="2" xr3:uid="{00000000-0010-0000-0300-000002000000}" name="1" totalsRowFunction="count" dataDxfId="656" totalsRowDxfId="655"/>
    <tableColumn id="3" xr3:uid="{00000000-0010-0000-0300-000003000000}" name="2" totalsRowFunction="count" dataDxfId="654" totalsRowDxfId="653"/>
    <tableColumn id="4" xr3:uid="{00000000-0010-0000-0300-000004000000}" name="3" totalsRowFunction="count" dataDxfId="652" totalsRowDxfId="651"/>
    <tableColumn id="5" xr3:uid="{00000000-0010-0000-0300-000005000000}" name="4" totalsRowFunction="count" dataDxfId="650" totalsRowDxfId="649"/>
    <tableColumn id="6" xr3:uid="{00000000-0010-0000-0300-000006000000}" name="5" totalsRowFunction="count" dataDxfId="648" totalsRowDxfId="647"/>
    <tableColumn id="7" xr3:uid="{00000000-0010-0000-0300-000007000000}" name="6" totalsRowFunction="count" dataDxfId="646" totalsRowDxfId="645"/>
    <tableColumn id="8" xr3:uid="{00000000-0010-0000-0300-000008000000}" name="7" totalsRowFunction="count" dataDxfId="644" totalsRowDxfId="643"/>
    <tableColumn id="9" xr3:uid="{00000000-0010-0000-0300-000009000000}" name="8" totalsRowFunction="count" dataDxfId="642" totalsRowDxfId="641"/>
    <tableColumn id="10" xr3:uid="{00000000-0010-0000-0300-00000A000000}" name="9" totalsRowFunction="count" dataDxfId="640" totalsRowDxfId="639"/>
    <tableColumn id="11" xr3:uid="{00000000-0010-0000-0300-00000B000000}" name="10" totalsRowFunction="count" dataDxfId="638" totalsRowDxfId="637"/>
    <tableColumn id="12" xr3:uid="{00000000-0010-0000-0300-00000C000000}" name="11" totalsRowFunction="count" dataDxfId="636" totalsRowDxfId="635"/>
    <tableColumn id="13" xr3:uid="{00000000-0010-0000-0300-00000D000000}" name="12" totalsRowFunction="count" dataDxfId="634" totalsRowDxfId="633"/>
    <tableColumn id="14" xr3:uid="{00000000-0010-0000-0300-00000E000000}" name="13" totalsRowFunction="count" dataDxfId="632" totalsRowDxfId="631"/>
    <tableColumn id="15" xr3:uid="{00000000-0010-0000-0300-00000F000000}" name="14" totalsRowFunction="count" dataDxfId="630" totalsRowDxfId="629"/>
    <tableColumn id="16" xr3:uid="{00000000-0010-0000-0300-000010000000}" name="15" totalsRowFunction="count" dataDxfId="628" totalsRowDxfId="627"/>
    <tableColumn id="17" xr3:uid="{00000000-0010-0000-0300-000011000000}" name="16" totalsRowFunction="count" dataDxfId="626" totalsRowDxfId="625"/>
    <tableColumn id="18" xr3:uid="{00000000-0010-0000-0300-000012000000}" name="17" totalsRowFunction="count" dataDxfId="624" totalsRowDxfId="623"/>
    <tableColumn id="19" xr3:uid="{00000000-0010-0000-0300-000013000000}" name="18" totalsRowFunction="count" dataDxfId="622" totalsRowDxfId="621"/>
    <tableColumn id="20" xr3:uid="{00000000-0010-0000-0300-000014000000}" name="19" totalsRowFunction="count" dataDxfId="620" totalsRowDxfId="619"/>
    <tableColumn id="21" xr3:uid="{00000000-0010-0000-0300-000015000000}" name="20" totalsRowFunction="count" dataDxfId="618" totalsRowDxfId="617"/>
    <tableColumn id="22" xr3:uid="{00000000-0010-0000-0300-000016000000}" name="21" totalsRowFunction="count" dataDxfId="616" totalsRowDxfId="615"/>
    <tableColumn id="23" xr3:uid="{00000000-0010-0000-0300-000017000000}" name="22" totalsRowFunction="count" dataDxfId="614" totalsRowDxfId="613"/>
    <tableColumn id="24" xr3:uid="{00000000-0010-0000-0300-000018000000}" name="23" totalsRowFunction="count" dataDxfId="612" totalsRowDxfId="611"/>
    <tableColumn id="25" xr3:uid="{00000000-0010-0000-0300-000019000000}" name="24" totalsRowFunction="count" dataDxfId="610" totalsRowDxfId="609"/>
    <tableColumn id="26" xr3:uid="{00000000-0010-0000-0300-00001A000000}" name="25" totalsRowFunction="count" dataDxfId="608" totalsRowDxfId="607"/>
    <tableColumn id="27" xr3:uid="{00000000-0010-0000-0300-00001B000000}" name="26" totalsRowFunction="count" dataDxfId="606" totalsRowDxfId="605"/>
    <tableColumn id="28" xr3:uid="{00000000-0010-0000-0300-00001C000000}" name="27" totalsRowFunction="count" dataDxfId="604" totalsRowDxfId="603"/>
    <tableColumn id="29" xr3:uid="{00000000-0010-0000-0300-00001D000000}" name="28" totalsRowFunction="count" dataDxfId="602" totalsRowDxfId="601"/>
    <tableColumn id="30" xr3:uid="{00000000-0010-0000-0300-00001E000000}" name="29" totalsRowFunction="count" dataDxfId="600" totalsRowDxfId="599"/>
    <tableColumn id="31" xr3:uid="{00000000-0010-0000-0300-00001F000000}" name="30" totalsRowFunction="count" dataDxfId="598" totalsRowDxfId="597"/>
    <tableColumn id="32" xr3:uid="{00000000-0010-0000-0300-000020000000}" name=" " totalsRowFunction="custom" dataDxfId="596" totalsRowDxfId="595">
      <totalsRowFormula>SUBTOTAL(103,Avril[30])</totalsRowFormula>
    </tableColumn>
    <tableColumn id="33" xr3:uid="{00000000-0010-0000-0300-000021000000}" name="Total des jours" totalsRowFunction="sum" dataDxfId="594" totalsRowDxfId="593">
      <calculatedColumnFormula>COUNTA(Avril[[#This Row],[1]:[30]])</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Mai" displayName="Mai" ref="B6:AH12" totalsRowCount="1" headerRowDxfId="587" dataDxfId="586" totalsRowDxfId="585">
  <tableColumns count="33">
    <tableColumn id="1" xr3:uid="{00000000-0010-0000-0400-000001000000}" name="Nom de l’employé" totalsRowFunction="custom" dataDxfId="584" totalsRowDxfId="583" dataCellStyle="Employé">
      <totalsRowFormula>NomMois&amp;" Total"</totalsRowFormula>
    </tableColumn>
    <tableColumn id="2" xr3:uid="{00000000-0010-0000-0400-000002000000}" name="1" totalsRowFunction="count" dataDxfId="582" totalsRowDxfId="581"/>
    <tableColumn id="3" xr3:uid="{00000000-0010-0000-0400-000003000000}" name="2" totalsRowFunction="count" dataDxfId="580" totalsRowDxfId="579"/>
    <tableColumn id="4" xr3:uid="{00000000-0010-0000-0400-000004000000}" name="3" totalsRowFunction="count" dataDxfId="578" totalsRowDxfId="577"/>
    <tableColumn id="5" xr3:uid="{00000000-0010-0000-0400-000005000000}" name="4" totalsRowFunction="count" dataDxfId="576" totalsRowDxfId="575"/>
    <tableColumn id="6" xr3:uid="{00000000-0010-0000-0400-000006000000}" name="5" totalsRowFunction="count" dataDxfId="574" totalsRowDxfId="573"/>
    <tableColumn id="7" xr3:uid="{00000000-0010-0000-0400-000007000000}" name="6" totalsRowFunction="count" dataDxfId="572" totalsRowDxfId="571"/>
    <tableColumn id="8" xr3:uid="{00000000-0010-0000-0400-000008000000}" name="7" totalsRowFunction="count" dataDxfId="570" totalsRowDxfId="569"/>
    <tableColumn id="9" xr3:uid="{00000000-0010-0000-0400-000009000000}" name="8" totalsRowFunction="count" dataDxfId="568" totalsRowDxfId="567"/>
    <tableColumn id="10" xr3:uid="{00000000-0010-0000-0400-00000A000000}" name="9" totalsRowFunction="count" dataDxfId="566" totalsRowDxfId="565"/>
    <tableColumn id="11" xr3:uid="{00000000-0010-0000-0400-00000B000000}" name="10" totalsRowFunction="count" dataDxfId="564" totalsRowDxfId="563"/>
    <tableColumn id="12" xr3:uid="{00000000-0010-0000-0400-00000C000000}" name="11" totalsRowFunction="count" dataDxfId="562" totalsRowDxfId="561"/>
    <tableColumn id="13" xr3:uid="{00000000-0010-0000-0400-00000D000000}" name="12" totalsRowFunction="count" dataDxfId="560" totalsRowDxfId="559"/>
    <tableColumn id="14" xr3:uid="{00000000-0010-0000-0400-00000E000000}" name="13" totalsRowFunction="count" dataDxfId="558" totalsRowDxfId="557"/>
    <tableColumn id="15" xr3:uid="{00000000-0010-0000-0400-00000F000000}" name="14" totalsRowFunction="count" dataDxfId="556" totalsRowDxfId="555"/>
    <tableColumn id="16" xr3:uid="{00000000-0010-0000-0400-000010000000}" name="15" totalsRowFunction="count" dataDxfId="554" totalsRowDxfId="553"/>
    <tableColumn id="17" xr3:uid="{00000000-0010-0000-0400-000011000000}" name="16" totalsRowFunction="count" dataDxfId="552" totalsRowDxfId="551"/>
    <tableColumn id="18" xr3:uid="{00000000-0010-0000-0400-000012000000}" name="17" totalsRowFunction="count" dataDxfId="550" totalsRowDxfId="549"/>
    <tableColumn id="19" xr3:uid="{00000000-0010-0000-0400-000013000000}" name="18" totalsRowFunction="count" dataDxfId="548" totalsRowDxfId="547"/>
    <tableColumn id="20" xr3:uid="{00000000-0010-0000-0400-000014000000}" name="19" totalsRowFunction="count" dataDxfId="546" totalsRowDxfId="545"/>
    <tableColumn id="21" xr3:uid="{00000000-0010-0000-0400-000015000000}" name="20" totalsRowFunction="count" dataDxfId="544" totalsRowDxfId="543"/>
    <tableColumn id="22" xr3:uid="{00000000-0010-0000-0400-000016000000}" name="21" totalsRowFunction="count" dataDxfId="542" totalsRowDxfId="541"/>
    <tableColumn id="23" xr3:uid="{00000000-0010-0000-0400-000017000000}" name="22" totalsRowFunction="count" dataDxfId="540" totalsRowDxfId="539"/>
    <tableColumn id="24" xr3:uid="{00000000-0010-0000-0400-000018000000}" name="23" totalsRowFunction="count" dataDxfId="538" totalsRowDxfId="537"/>
    <tableColumn id="25" xr3:uid="{00000000-0010-0000-0400-000019000000}" name="24" totalsRowFunction="count" dataDxfId="536" totalsRowDxfId="535"/>
    <tableColumn id="26" xr3:uid="{00000000-0010-0000-0400-00001A000000}" name="25" totalsRowFunction="count" dataDxfId="534" totalsRowDxfId="533"/>
    <tableColumn id="27" xr3:uid="{00000000-0010-0000-0400-00001B000000}" name="26" totalsRowFunction="count" dataDxfId="532" totalsRowDxfId="531"/>
    <tableColumn id="28" xr3:uid="{00000000-0010-0000-0400-00001C000000}" name="27" totalsRowFunction="count" dataDxfId="530" totalsRowDxfId="529"/>
    <tableColumn id="29" xr3:uid="{00000000-0010-0000-0400-00001D000000}" name="28" totalsRowFunction="count" dataDxfId="528" totalsRowDxfId="527"/>
    <tableColumn id="30" xr3:uid="{00000000-0010-0000-0400-00001E000000}" name="29" totalsRowFunction="count" dataDxfId="526" totalsRowDxfId="525"/>
    <tableColumn id="31" xr3:uid="{00000000-0010-0000-0400-00001F000000}" name="30" totalsRowFunction="count" dataDxfId="524" totalsRowDxfId="523"/>
    <tableColumn id="32" xr3:uid="{00000000-0010-0000-0400-000020000000}" name="31" totalsRowFunction="count" dataDxfId="522" totalsRowDxfId="521"/>
    <tableColumn id="33" xr3:uid="{00000000-0010-0000-0400-000021000000}" name="Total des jours" totalsRowFunction="sum" dataDxfId="520" totalsRowDxfId="519">
      <calculatedColumnFormula>COUNTA(Mai[[#This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Juin" displayName="Juin" ref="B6:AH12" totalsRowCount="1" headerRowDxfId="513" dataDxfId="512" totalsRowDxfId="511">
  <tableColumns count="33">
    <tableColumn id="1" xr3:uid="{00000000-0010-0000-0500-000001000000}" name="Nom de l’employé" totalsRowFunction="custom" dataDxfId="510" totalsRowDxfId="509" dataCellStyle="Employé">
      <totalsRowFormula>NomMois&amp;" Total"</totalsRowFormula>
    </tableColumn>
    <tableColumn id="2" xr3:uid="{00000000-0010-0000-0500-000002000000}" name="1" totalsRowFunction="count" dataDxfId="508" totalsRowDxfId="507"/>
    <tableColumn id="3" xr3:uid="{00000000-0010-0000-0500-000003000000}" name="2" totalsRowFunction="count" dataDxfId="506" totalsRowDxfId="505"/>
    <tableColumn id="4" xr3:uid="{00000000-0010-0000-0500-000004000000}" name="3" totalsRowFunction="count" dataDxfId="504" totalsRowDxfId="503"/>
    <tableColumn id="5" xr3:uid="{00000000-0010-0000-0500-000005000000}" name="4" totalsRowFunction="count" dataDxfId="502" totalsRowDxfId="501"/>
    <tableColumn id="6" xr3:uid="{00000000-0010-0000-0500-000006000000}" name="5" totalsRowFunction="count" dataDxfId="500" totalsRowDxfId="499"/>
    <tableColumn id="7" xr3:uid="{00000000-0010-0000-0500-000007000000}" name="6" totalsRowFunction="count" dataDxfId="498" totalsRowDxfId="497"/>
    <tableColumn id="8" xr3:uid="{00000000-0010-0000-0500-000008000000}" name="7" totalsRowFunction="count" dataDxfId="496" totalsRowDxfId="495"/>
    <tableColumn id="9" xr3:uid="{00000000-0010-0000-0500-000009000000}" name="8" totalsRowFunction="count" dataDxfId="494" totalsRowDxfId="493"/>
    <tableColumn id="10" xr3:uid="{00000000-0010-0000-0500-00000A000000}" name="9" totalsRowFunction="count" dataDxfId="492" totalsRowDxfId="491"/>
    <tableColumn id="11" xr3:uid="{00000000-0010-0000-0500-00000B000000}" name="10" totalsRowFunction="count" dataDxfId="490" totalsRowDxfId="489"/>
    <tableColumn id="12" xr3:uid="{00000000-0010-0000-0500-00000C000000}" name="11" totalsRowFunction="count" dataDxfId="488" totalsRowDxfId="487"/>
    <tableColumn id="13" xr3:uid="{00000000-0010-0000-0500-00000D000000}" name="12" totalsRowFunction="count" dataDxfId="486" totalsRowDxfId="485"/>
    <tableColumn id="14" xr3:uid="{00000000-0010-0000-0500-00000E000000}" name="13" totalsRowFunction="count" dataDxfId="484" totalsRowDxfId="483"/>
    <tableColumn id="15" xr3:uid="{00000000-0010-0000-0500-00000F000000}" name="14" totalsRowFunction="count" dataDxfId="482" totalsRowDxfId="481"/>
    <tableColumn id="16" xr3:uid="{00000000-0010-0000-0500-000010000000}" name="15" totalsRowFunction="count" dataDxfId="480" totalsRowDxfId="479"/>
    <tableColumn id="17" xr3:uid="{00000000-0010-0000-0500-000011000000}" name="16" totalsRowFunction="count" dataDxfId="478" totalsRowDxfId="477"/>
    <tableColumn id="18" xr3:uid="{00000000-0010-0000-0500-000012000000}" name="17" totalsRowFunction="count" dataDxfId="476" totalsRowDxfId="475"/>
    <tableColumn id="19" xr3:uid="{00000000-0010-0000-0500-000013000000}" name="18" totalsRowFunction="count" dataDxfId="474" totalsRowDxfId="473"/>
    <tableColumn id="20" xr3:uid="{00000000-0010-0000-0500-000014000000}" name="19" totalsRowFunction="count" dataDxfId="472" totalsRowDxfId="471"/>
    <tableColumn id="21" xr3:uid="{00000000-0010-0000-0500-000015000000}" name="20" totalsRowFunction="count" dataDxfId="470" totalsRowDxfId="469"/>
    <tableColumn id="22" xr3:uid="{00000000-0010-0000-0500-000016000000}" name="21" totalsRowFunction="count" dataDxfId="468" totalsRowDxfId="467"/>
    <tableColumn id="23" xr3:uid="{00000000-0010-0000-0500-000017000000}" name="22" totalsRowFunction="count" dataDxfId="466" totalsRowDxfId="465"/>
    <tableColumn id="24" xr3:uid="{00000000-0010-0000-0500-000018000000}" name="23" totalsRowFunction="count" dataDxfId="464" totalsRowDxfId="463"/>
    <tableColumn id="25" xr3:uid="{00000000-0010-0000-0500-000019000000}" name="24" totalsRowFunction="count" dataDxfId="462" totalsRowDxfId="461"/>
    <tableColumn id="26" xr3:uid="{00000000-0010-0000-0500-00001A000000}" name="25" totalsRowFunction="count" dataDxfId="460" totalsRowDxfId="459"/>
    <tableColumn id="27" xr3:uid="{00000000-0010-0000-0500-00001B000000}" name="26" totalsRowFunction="count" dataDxfId="458" totalsRowDxfId="457"/>
    <tableColumn id="28" xr3:uid="{00000000-0010-0000-0500-00001C000000}" name="27" totalsRowFunction="count" dataDxfId="456" totalsRowDxfId="455"/>
    <tableColumn id="29" xr3:uid="{00000000-0010-0000-0500-00001D000000}" name="28" totalsRowFunction="count" dataDxfId="454" totalsRowDxfId="453"/>
    <tableColumn id="30" xr3:uid="{00000000-0010-0000-0500-00001E000000}" name="29" totalsRowFunction="count" dataDxfId="452" totalsRowDxfId="451"/>
    <tableColumn id="31" xr3:uid="{00000000-0010-0000-0500-00001F000000}" name="30" totalsRowFunction="count" dataDxfId="450" totalsRowDxfId="449"/>
    <tableColumn id="32" xr3:uid="{00000000-0010-0000-0500-000020000000}" name=" " totalsRowFunction="count" dataDxfId="448" totalsRowDxfId="447"/>
    <tableColumn id="33" xr3:uid="{00000000-0010-0000-0500-000021000000}" name="Total des jours" totalsRowFunction="sum" dataDxfId="446" totalsRowDxfId="445">
      <calculatedColumnFormula>COUNTA(Juin[[#This Row],[1]:[30]])</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Juillet" displayName="Juillet" ref="B6:AH12" totalsRowCount="1" headerRowDxfId="439" dataDxfId="438" totalsRowDxfId="437">
  <tableColumns count="33">
    <tableColumn id="1" xr3:uid="{00000000-0010-0000-0600-000001000000}" name="Nom de l’employé" totalsRowFunction="custom" dataDxfId="436" totalsRowDxfId="435" dataCellStyle="Employé">
      <totalsRowFormula>NomMois&amp;" Total"</totalsRowFormula>
    </tableColumn>
    <tableColumn id="2" xr3:uid="{00000000-0010-0000-0600-000002000000}" name="1" totalsRowFunction="count" dataDxfId="434" totalsRowDxfId="433"/>
    <tableColumn id="3" xr3:uid="{00000000-0010-0000-0600-000003000000}" name="2" totalsRowFunction="count" dataDxfId="432" totalsRowDxfId="431"/>
    <tableColumn id="4" xr3:uid="{00000000-0010-0000-0600-000004000000}" name="3" totalsRowFunction="count" dataDxfId="430" totalsRowDxfId="429"/>
    <tableColumn id="5" xr3:uid="{00000000-0010-0000-0600-000005000000}" name="4" totalsRowFunction="count" dataDxfId="428" totalsRowDxfId="427"/>
    <tableColumn id="6" xr3:uid="{00000000-0010-0000-0600-000006000000}" name="5" totalsRowFunction="count" dataDxfId="426" totalsRowDxfId="425"/>
    <tableColumn id="7" xr3:uid="{00000000-0010-0000-0600-000007000000}" name="6" totalsRowFunction="count" dataDxfId="424" totalsRowDxfId="423"/>
    <tableColumn id="8" xr3:uid="{00000000-0010-0000-0600-000008000000}" name="7" totalsRowFunction="count" dataDxfId="422" totalsRowDxfId="421"/>
    <tableColumn id="9" xr3:uid="{00000000-0010-0000-0600-000009000000}" name="8" totalsRowFunction="count" dataDxfId="420" totalsRowDxfId="419"/>
    <tableColumn id="10" xr3:uid="{00000000-0010-0000-0600-00000A000000}" name="9" totalsRowFunction="count" dataDxfId="418" totalsRowDxfId="417"/>
    <tableColumn id="11" xr3:uid="{00000000-0010-0000-0600-00000B000000}" name="10" totalsRowFunction="count" dataDxfId="416" totalsRowDxfId="415"/>
    <tableColumn id="12" xr3:uid="{00000000-0010-0000-0600-00000C000000}" name="11" totalsRowFunction="count" dataDxfId="414" totalsRowDxfId="413"/>
    <tableColumn id="13" xr3:uid="{00000000-0010-0000-0600-00000D000000}" name="12" totalsRowFunction="count" dataDxfId="412" totalsRowDxfId="411"/>
    <tableColumn id="14" xr3:uid="{00000000-0010-0000-0600-00000E000000}" name="13" totalsRowFunction="count" dataDxfId="410" totalsRowDxfId="409"/>
    <tableColumn id="15" xr3:uid="{00000000-0010-0000-0600-00000F000000}" name="14" totalsRowFunction="count" dataDxfId="408" totalsRowDxfId="407"/>
    <tableColumn id="16" xr3:uid="{00000000-0010-0000-0600-000010000000}" name="15" totalsRowFunction="count" dataDxfId="406" totalsRowDxfId="405"/>
    <tableColumn id="17" xr3:uid="{00000000-0010-0000-0600-000011000000}" name="16" totalsRowFunction="count" dataDxfId="404" totalsRowDxfId="403"/>
    <tableColumn id="18" xr3:uid="{00000000-0010-0000-0600-000012000000}" name="17" totalsRowFunction="count" dataDxfId="402" totalsRowDxfId="401"/>
    <tableColumn id="19" xr3:uid="{00000000-0010-0000-0600-000013000000}" name="18" totalsRowFunction="count" dataDxfId="400" totalsRowDxfId="399"/>
    <tableColumn id="20" xr3:uid="{00000000-0010-0000-0600-000014000000}" name="19" totalsRowFunction="count" dataDxfId="398" totalsRowDxfId="397"/>
    <tableColumn id="21" xr3:uid="{00000000-0010-0000-0600-000015000000}" name="20" totalsRowFunction="count" dataDxfId="396" totalsRowDxfId="395"/>
    <tableColumn id="22" xr3:uid="{00000000-0010-0000-0600-000016000000}" name="21" totalsRowFunction="count" dataDxfId="394" totalsRowDxfId="393"/>
    <tableColumn id="23" xr3:uid="{00000000-0010-0000-0600-000017000000}" name="22" totalsRowFunction="count" dataDxfId="392" totalsRowDxfId="391"/>
    <tableColumn id="24" xr3:uid="{00000000-0010-0000-0600-000018000000}" name="23" totalsRowFunction="count" dataDxfId="390" totalsRowDxfId="389"/>
    <tableColumn id="25" xr3:uid="{00000000-0010-0000-0600-000019000000}" name="24" totalsRowFunction="count" dataDxfId="388" totalsRowDxfId="387"/>
    <tableColumn id="26" xr3:uid="{00000000-0010-0000-0600-00001A000000}" name="25" totalsRowFunction="count" dataDxfId="386" totalsRowDxfId="385"/>
    <tableColumn id="27" xr3:uid="{00000000-0010-0000-0600-00001B000000}" name="26" totalsRowFunction="count" dataDxfId="384" totalsRowDxfId="383"/>
    <tableColumn id="28" xr3:uid="{00000000-0010-0000-0600-00001C000000}" name="27" totalsRowFunction="count" dataDxfId="382" totalsRowDxfId="381"/>
    <tableColumn id="29" xr3:uid="{00000000-0010-0000-0600-00001D000000}" name="28" totalsRowFunction="count" dataDxfId="380" totalsRowDxfId="379"/>
    <tableColumn id="30" xr3:uid="{00000000-0010-0000-0600-00001E000000}" name="29" totalsRowFunction="count" dataDxfId="378" totalsRowDxfId="377"/>
    <tableColumn id="31" xr3:uid="{00000000-0010-0000-0600-00001F000000}" name="30" totalsRowFunction="count" dataDxfId="376" totalsRowDxfId="375"/>
    <tableColumn id="32" xr3:uid="{00000000-0010-0000-0600-000020000000}" name="31" totalsRowFunction="count" dataDxfId="374" totalsRowDxfId="373"/>
    <tableColumn id="33" xr3:uid="{00000000-0010-0000-0600-000021000000}" name="Total des jours" totalsRowFunction="sum" dataDxfId="372" totalsRowDxfId="371">
      <calculatedColumnFormula>COUNTA(Juillet[[#This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Août" displayName="Août" ref="B6:AH12" totalsRowCount="1" headerRowDxfId="365" dataDxfId="364" totalsRowDxfId="363">
  <tableColumns count="33">
    <tableColumn id="1" xr3:uid="{00000000-0010-0000-0700-000001000000}" name="Nom de l’employé" totalsRowFunction="custom" dataDxfId="362" totalsRowDxfId="361" dataCellStyle="Employé">
      <totalsRowFormula>NomMois&amp;" Total"</totalsRowFormula>
    </tableColumn>
    <tableColumn id="2" xr3:uid="{00000000-0010-0000-0700-000002000000}" name="1" totalsRowFunction="count" dataDxfId="360" totalsRowDxfId="359"/>
    <tableColumn id="3" xr3:uid="{00000000-0010-0000-0700-000003000000}" name="2" totalsRowFunction="count" dataDxfId="358" totalsRowDxfId="357"/>
    <tableColumn id="4" xr3:uid="{00000000-0010-0000-0700-000004000000}" name="3" totalsRowFunction="count" dataDxfId="356" totalsRowDxfId="355"/>
    <tableColumn id="5" xr3:uid="{00000000-0010-0000-0700-000005000000}" name="4" totalsRowFunction="count" dataDxfId="354" totalsRowDxfId="353"/>
    <tableColumn id="6" xr3:uid="{00000000-0010-0000-0700-000006000000}" name="5" totalsRowFunction="count" dataDxfId="352" totalsRowDxfId="351"/>
    <tableColumn id="7" xr3:uid="{00000000-0010-0000-0700-000007000000}" name="6" totalsRowFunction="count" dataDxfId="350" totalsRowDxfId="349"/>
    <tableColumn id="8" xr3:uid="{00000000-0010-0000-0700-000008000000}" name="7" totalsRowFunction="count" dataDxfId="348" totalsRowDxfId="347"/>
    <tableColumn id="9" xr3:uid="{00000000-0010-0000-0700-000009000000}" name="8" totalsRowFunction="count" dataDxfId="346" totalsRowDxfId="345"/>
    <tableColumn id="10" xr3:uid="{00000000-0010-0000-0700-00000A000000}" name="9" totalsRowFunction="count" dataDxfId="344" totalsRowDxfId="343"/>
    <tableColumn id="11" xr3:uid="{00000000-0010-0000-0700-00000B000000}" name="10" totalsRowFunction="count" dataDxfId="342" totalsRowDxfId="341"/>
    <tableColumn id="12" xr3:uid="{00000000-0010-0000-0700-00000C000000}" name="11" totalsRowFunction="count" dataDxfId="340" totalsRowDxfId="339"/>
    <tableColumn id="13" xr3:uid="{00000000-0010-0000-0700-00000D000000}" name="12" totalsRowFunction="count" dataDxfId="338" totalsRowDxfId="337"/>
    <tableColumn id="14" xr3:uid="{00000000-0010-0000-0700-00000E000000}" name="13" totalsRowFunction="count" dataDxfId="336" totalsRowDxfId="335"/>
    <tableColumn id="15" xr3:uid="{00000000-0010-0000-0700-00000F000000}" name="14" totalsRowFunction="count" dataDxfId="334" totalsRowDxfId="333"/>
    <tableColumn id="16" xr3:uid="{00000000-0010-0000-0700-000010000000}" name="15" totalsRowFunction="count" dataDxfId="332" totalsRowDxfId="331"/>
    <tableColumn id="17" xr3:uid="{00000000-0010-0000-0700-000011000000}" name="16" totalsRowFunction="count" dataDxfId="330" totalsRowDxfId="329"/>
    <tableColumn id="18" xr3:uid="{00000000-0010-0000-0700-000012000000}" name="17" totalsRowFunction="count" dataDxfId="328" totalsRowDxfId="327"/>
    <tableColumn id="19" xr3:uid="{00000000-0010-0000-0700-000013000000}" name="18" totalsRowFunction="count" dataDxfId="326" totalsRowDxfId="325"/>
    <tableColumn id="20" xr3:uid="{00000000-0010-0000-0700-000014000000}" name="19" totalsRowFunction="count" dataDxfId="324" totalsRowDxfId="323"/>
    <tableColumn id="21" xr3:uid="{00000000-0010-0000-0700-000015000000}" name="20" totalsRowFunction="count" dataDxfId="322" totalsRowDxfId="321"/>
    <tableColumn id="22" xr3:uid="{00000000-0010-0000-0700-000016000000}" name="21" totalsRowFunction="count" dataDxfId="320" totalsRowDxfId="319"/>
    <tableColumn id="23" xr3:uid="{00000000-0010-0000-0700-000017000000}" name="22" totalsRowFunction="count" dataDxfId="318" totalsRowDxfId="317"/>
    <tableColumn id="24" xr3:uid="{00000000-0010-0000-0700-000018000000}" name="23" totalsRowFunction="count" dataDxfId="316" totalsRowDxfId="315"/>
    <tableColumn id="25" xr3:uid="{00000000-0010-0000-0700-000019000000}" name="24" totalsRowFunction="count" dataDxfId="314" totalsRowDxfId="313"/>
    <tableColumn id="26" xr3:uid="{00000000-0010-0000-0700-00001A000000}" name="25" totalsRowFunction="count" dataDxfId="312" totalsRowDxfId="311"/>
    <tableColumn id="27" xr3:uid="{00000000-0010-0000-0700-00001B000000}" name="26" totalsRowFunction="count" dataDxfId="310" totalsRowDxfId="309"/>
    <tableColumn id="28" xr3:uid="{00000000-0010-0000-0700-00001C000000}" name="27" totalsRowFunction="count" dataDxfId="308" totalsRowDxfId="307"/>
    <tableColumn id="29" xr3:uid="{00000000-0010-0000-0700-00001D000000}" name="28" totalsRowFunction="count" dataDxfId="306" totalsRowDxfId="305"/>
    <tableColumn id="30" xr3:uid="{00000000-0010-0000-0700-00001E000000}" name="29" totalsRowFunction="count" dataDxfId="304" totalsRowDxfId="303"/>
    <tableColumn id="31" xr3:uid="{00000000-0010-0000-0700-00001F000000}" name="30" totalsRowFunction="count" dataDxfId="302" totalsRowDxfId="301"/>
    <tableColumn id="32" xr3:uid="{00000000-0010-0000-0700-000020000000}" name="31" totalsRowFunction="count" dataDxfId="300" totalsRowDxfId="299"/>
    <tableColumn id="33" xr3:uid="{00000000-0010-0000-0700-000021000000}" name="Total des jours" totalsRowFunction="sum" dataDxfId="298" totalsRowDxfId="297">
      <calculatedColumnFormula>COUNTA(Août[[#This Row],[1]:[31]])</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Septembre" displayName="Septembre" ref="B6:AH12" totalsRowCount="1" headerRowDxfId="291" dataDxfId="290" totalsRowDxfId="289">
  <tableColumns count="33">
    <tableColumn id="1" xr3:uid="{00000000-0010-0000-0800-000001000000}" name="Nom de l’employé" totalsRowFunction="custom" dataDxfId="288" totalsRowDxfId="287" dataCellStyle="Employé">
      <totalsRowFormula>NomMois&amp;" Total"</totalsRowFormula>
    </tableColumn>
    <tableColumn id="2" xr3:uid="{00000000-0010-0000-0800-000002000000}" name="1" totalsRowFunction="count" dataDxfId="286" totalsRowDxfId="285"/>
    <tableColumn id="3" xr3:uid="{00000000-0010-0000-0800-000003000000}" name="2" totalsRowFunction="count" dataDxfId="284" totalsRowDxfId="283"/>
    <tableColumn id="4" xr3:uid="{00000000-0010-0000-0800-000004000000}" name="3" totalsRowFunction="count" dataDxfId="282" totalsRowDxfId="281"/>
    <tableColumn id="5" xr3:uid="{00000000-0010-0000-0800-000005000000}" name="4" totalsRowFunction="count" dataDxfId="280" totalsRowDxfId="279"/>
    <tableColumn id="6" xr3:uid="{00000000-0010-0000-0800-000006000000}" name="5" totalsRowFunction="count" dataDxfId="278" totalsRowDxfId="277"/>
    <tableColumn id="7" xr3:uid="{00000000-0010-0000-0800-000007000000}" name="6" totalsRowFunction="count" dataDxfId="276" totalsRowDxfId="275"/>
    <tableColumn id="8" xr3:uid="{00000000-0010-0000-0800-000008000000}" name="7" totalsRowFunction="count" dataDxfId="274" totalsRowDxfId="273"/>
    <tableColumn id="9" xr3:uid="{00000000-0010-0000-0800-000009000000}" name="8" totalsRowFunction="count" dataDxfId="272" totalsRowDxfId="271"/>
    <tableColumn id="10" xr3:uid="{00000000-0010-0000-0800-00000A000000}" name="9" totalsRowFunction="count" dataDxfId="270" totalsRowDxfId="269"/>
    <tableColumn id="11" xr3:uid="{00000000-0010-0000-0800-00000B000000}" name="10" totalsRowFunction="count" dataDxfId="268" totalsRowDxfId="267"/>
    <tableColumn id="12" xr3:uid="{00000000-0010-0000-0800-00000C000000}" name="11" totalsRowFunction="count" dataDxfId="266" totalsRowDxfId="265"/>
    <tableColumn id="13" xr3:uid="{00000000-0010-0000-0800-00000D000000}" name="12" totalsRowFunction="count" dataDxfId="264" totalsRowDxfId="263"/>
    <tableColumn id="14" xr3:uid="{00000000-0010-0000-0800-00000E000000}" name="13" totalsRowFunction="count" dataDxfId="262" totalsRowDxfId="261"/>
    <tableColumn id="15" xr3:uid="{00000000-0010-0000-0800-00000F000000}" name="14" totalsRowFunction="count" dataDxfId="260" totalsRowDxfId="259"/>
    <tableColumn id="16" xr3:uid="{00000000-0010-0000-0800-000010000000}" name="15" totalsRowFunction="count" dataDxfId="258" totalsRowDxfId="257"/>
    <tableColumn id="17" xr3:uid="{00000000-0010-0000-0800-000011000000}" name="16" totalsRowFunction="count" dataDxfId="256" totalsRowDxfId="255"/>
    <tableColumn id="18" xr3:uid="{00000000-0010-0000-0800-000012000000}" name="17" totalsRowFunction="count" dataDxfId="254" totalsRowDxfId="253"/>
    <tableColumn id="19" xr3:uid="{00000000-0010-0000-0800-000013000000}" name="18" totalsRowFunction="count" dataDxfId="252" totalsRowDxfId="251"/>
    <tableColumn id="20" xr3:uid="{00000000-0010-0000-0800-000014000000}" name="19" totalsRowFunction="count" dataDxfId="250" totalsRowDxfId="249"/>
    <tableColumn id="21" xr3:uid="{00000000-0010-0000-0800-000015000000}" name="20" totalsRowFunction="count" dataDxfId="248" totalsRowDxfId="247"/>
    <tableColumn id="22" xr3:uid="{00000000-0010-0000-0800-000016000000}" name="21" totalsRowFunction="count" dataDxfId="246" totalsRowDxfId="245"/>
    <tableColumn id="23" xr3:uid="{00000000-0010-0000-0800-000017000000}" name="22" totalsRowFunction="count" dataDxfId="244" totalsRowDxfId="243"/>
    <tableColumn id="24" xr3:uid="{00000000-0010-0000-0800-000018000000}" name="23" totalsRowFunction="count" dataDxfId="242" totalsRowDxfId="241"/>
    <tableColumn id="25" xr3:uid="{00000000-0010-0000-0800-000019000000}" name="24" totalsRowFunction="count" dataDxfId="240" totalsRowDxfId="239"/>
    <tableColumn id="26" xr3:uid="{00000000-0010-0000-0800-00001A000000}" name="25" totalsRowFunction="count" dataDxfId="238" totalsRowDxfId="237"/>
    <tableColumn id="27" xr3:uid="{00000000-0010-0000-0800-00001B000000}" name="26" totalsRowFunction="count" dataDxfId="236" totalsRowDxfId="235"/>
    <tableColumn id="28" xr3:uid="{00000000-0010-0000-0800-00001C000000}" name="27" totalsRowFunction="count" dataDxfId="234" totalsRowDxfId="233"/>
    <tableColumn id="29" xr3:uid="{00000000-0010-0000-0800-00001D000000}" name="28" totalsRowFunction="count" dataDxfId="232" totalsRowDxfId="231"/>
    <tableColumn id="30" xr3:uid="{00000000-0010-0000-0800-00001E000000}" name="29" totalsRowFunction="count" dataDxfId="230" totalsRowDxfId="229"/>
    <tableColumn id="31" xr3:uid="{00000000-0010-0000-0800-00001F000000}" name="30" totalsRowFunction="count" dataDxfId="228" totalsRowDxfId="227"/>
    <tableColumn id="32" xr3:uid="{00000000-0010-0000-0800-000020000000}" name=" " totalsRowFunction="count" dataDxfId="226" totalsRowDxfId="225"/>
    <tableColumn id="33" xr3:uid="{00000000-0010-0000-0800-000021000000}" name="Total des jours" totalsRowFunction="sum" dataDxfId="224" totalsRowDxfId="223">
      <calculatedColumnFormula>COUNTA(Septembre[[#This Row],[1]:[30]])</calculatedColumnFormula>
    </tableColumn>
  </tableColumns>
  <tableStyleInfo name="Tableau des absences des employés" showFirstColumn="1" showLastColumn="1" showRowStripes="1" showColumnStripes="0"/>
  <extLst>
    <ext xmlns:x14="http://schemas.microsoft.com/office/spreadsheetml/2009/9/main" uri="{504A1905-F514-4f6f-8877-14C23A59335A}">
      <x14:table altTextSummary="Entrez les noms des employés et les dates d’absence. Enregistrez le motif d’absence à l’aide des clés figurant dans la ligne 12 : C=Congé, M=Maladie, P=Personnel, et deux espaces réservés pour des entrées personnalisées"/>
    </ext>
  </extLst>
</table>
</file>

<file path=xl/theme/theme1.xml><?xml version="1.0" encoding="utf-8"?>
<a:theme xmlns:a="http://schemas.openxmlformats.org/drawingml/2006/main" name="Office Theme">
  <a:themeElements>
    <a:clrScheme name="Employee Absense Schedule">
      <a:dk1>
        <a:sysClr val="windowText" lastClr="000000"/>
      </a:dk1>
      <a:lt1>
        <a:sysClr val="window" lastClr="FFFFFF"/>
      </a:lt1>
      <a:dk2>
        <a:srgbClr val="4B180E"/>
      </a:dk2>
      <a:lt2>
        <a:srgbClr val="F1F2E8"/>
      </a:lt2>
      <a:accent1>
        <a:srgbClr val="A53423"/>
      </a:accent1>
      <a:accent2>
        <a:srgbClr val="E68130"/>
      </a:accent2>
      <a:accent3>
        <a:srgbClr val="9BB05D"/>
      </a:accent3>
      <a:accent4>
        <a:srgbClr val="CC9900"/>
      </a:accent4>
      <a:accent5>
        <a:srgbClr val="4F66AF"/>
      </a:accent5>
      <a:accent6>
        <a:srgbClr val="D0D2D3"/>
      </a:accent6>
      <a:hlink>
        <a:srgbClr val="4F66AF"/>
      </a:hlink>
      <a:folHlink>
        <a:srgbClr val="6B9AC6"/>
      </a:folHlink>
    </a:clrScheme>
    <a:fontScheme name="Employee Absence Schedule">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89999084444715716"/>
  </sheetPr>
  <dimension ref="A1:AH12"/>
  <sheetViews>
    <sheetView showGridLines="0" tabSelected="1" zoomScaleNormal="100" workbookViewId="0">
      <selection activeCell="AH5" sqref="AH5"/>
    </sheetView>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1:34" ht="50.15" customHeight="1" x14ac:dyDescent="0.35">
      <c r="A1" s="15"/>
      <c r="B1" s="12" t="s">
        <v>0</v>
      </c>
    </row>
    <row r="2" spans="1: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1:34" ht="15" customHeight="1" x14ac:dyDescent="0.35">
      <c r="AH3" s="17" t="s">
        <v>49</v>
      </c>
    </row>
    <row r="4" spans="1:34" ht="30" customHeight="1" x14ac:dyDescent="0.35">
      <c r="B4" s="10" t="s">
        <v>2</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v>2024</v>
      </c>
    </row>
    <row r="5" spans="1:34" ht="15" customHeight="1" x14ac:dyDescent="0.35">
      <c r="B5" s="10"/>
      <c r="C5" s="2" t="str">
        <f>TEXT(WEEKDAY(DATE(AnnéeCalendrier,1,1),1),"jjj")</f>
        <v>lun</v>
      </c>
      <c r="D5" s="2" t="str">
        <f>TEXT(WEEKDAY(DATE(AnnéeCalendrier,1,2),1),"jjj")</f>
        <v>mar</v>
      </c>
      <c r="E5" s="2" t="str">
        <f>TEXT(WEEKDAY(DATE(AnnéeCalendrier,1,3),1),"jjj")</f>
        <v>mer</v>
      </c>
      <c r="F5" s="2" t="str">
        <f>TEXT(WEEKDAY(DATE(AnnéeCalendrier,1,4),1),"jjj")</f>
        <v>jeu</v>
      </c>
      <c r="G5" s="2" t="str">
        <f>TEXT(WEEKDAY(DATE(AnnéeCalendrier,1,5),1),"jjj")</f>
        <v>ven</v>
      </c>
      <c r="H5" s="2" t="str">
        <f>TEXT(WEEKDAY(DATE(AnnéeCalendrier,1,6),1),"jjj")</f>
        <v>sam</v>
      </c>
      <c r="I5" s="2" t="str">
        <f>TEXT(WEEKDAY(DATE(AnnéeCalendrier,1,7),1),"jjj")</f>
        <v>dim</v>
      </c>
      <c r="J5" s="2" t="str">
        <f>TEXT(WEEKDAY(DATE(AnnéeCalendrier,1,8),1),"jjj")</f>
        <v>lun</v>
      </c>
      <c r="K5" s="2" t="str">
        <f>TEXT(WEEKDAY(DATE(AnnéeCalendrier,1,9),1),"jjj")</f>
        <v>mar</v>
      </c>
      <c r="L5" s="2" t="str">
        <f>TEXT(WEEKDAY(DATE(AnnéeCalendrier,1,10),1),"jjj")</f>
        <v>mer</v>
      </c>
      <c r="M5" s="2" t="str">
        <f>TEXT(WEEKDAY(DATE(AnnéeCalendrier,1,11),1),"jjj")</f>
        <v>jeu</v>
      </c>
      <c r="N5" s="2" t="str">
        <f>TEXT(WEEKDAY(DATE(AnnéeCalendrier,1,12),1),"jjj")</f>
        <v>ven</v>
      </c>
      <c r="O5" s="2" t="str">
        <f>TEXT(WEEKDAY(DATE(AnnéeCalendrier,1,13),1),"jjj")</f>
        <v>sam</v>
      </c>
      <c r="P5" s="2" t="str">
        <f>TEXT(WEEKDAY(DATE(AnnéeCalendrier,1,14),1),"jjj")</f>
        <v>dim</v>
      </c>
      <c r="Q5" s="2" t="str">
        <f>TEXT(WEEKDAY(DATE(AnnéeCalendrier,1,15),1),"jjj")</f>
        <v>lun</v>
      </c>
      <c r="R5" s="2" t="str">
        <f>TEXT(WEEKDAY(DATE(AnnéeCalendrier,1,16),1),"jjj")</f>
        <v>mar</v>
      </c>
      <c r="S5" s="2" t="str">
        <f>TEXT(WEEKDAY(DATE(AnnéeCalendrier,1,17),1),"jjj")</f>
        <v>mer</v>
      </c>
      <c r="T5" s="2" t="str">
        <f>TEXT(WEEKDAY(DATE(AnnéeCalendrier,1,18),1),"jjj")</f>
        <v>jeu</v>
      </c>
      <c r="U5" s="2" t="str">
        <f>TEXT(WEEKDAY(DATE(AnnéeCalendrier,1,19),1),"jjj")</f>
        <v>ven</v>
      </c>
      <c r="V5" s="2" t="str">
        <f>TEXT(WEEKDAY(DATE(AnnéeCalendrier,1,20),1),"jjj")</f>
        <v>sam</v>
      </c>
      <c r="W5" s="2" t="str">
        <f>TEXT(WEEKDAY(DATE(AnnéeCalendrier,1,21),1),"jjj")</f>
        <v>dim</v>
      </c>
      <c r="X5" s="2" t="str">
        <f>TEXT(WEEKDAY(DATE(AnnéeCalendrier,1,22),1),"jjj")</f>
        <v>lun</v>
      </c>
      <c r="Y5" s="2" t="str">
        <f>TEXT(WEEKDAY(DATE(AnnéeCalendrier,1,23),1),"jjj")</f>
        <v>mar</v>
      </c>
      <c r="Z5" s="2" t="str">
        <f>TEXT(WEEKDAY(DATE(AnnéeCalendrier,1,24),1),"jjj")</f>
        <v>mer</v>
      </c>
      <c r="AA5" s="2" t="str">
        <f>TEXT(WEEKDAY(DATE(AnnéeCalendrier,1,25),1),"jjj")</f>
        <v>jeu</v>
      </c>
      <c r="AB5" s="2" t="str">
        <f>TEXT(WEEKDAY(DATE(AnnéeCalendrier,1,26),1),"jjj")</f>
        <v>ven</v>
      </c>
      <c r="AC5" s="2" t="str">
        <f>TEXT(WEEKDAY(DATE(AnnéeCalendrier,1,27),1),"jjj")</f>
        <v>sam</v>
      </c>
      <c r="AD5" s="2" t="str">
        <f>TEXT(WEEKDAY(DATE(AnnéeCalendrier,1,28),1),"jjj")</f>
        <v>dim</v>
      </c>
      <c r="AE5" s="2" t="str">
        <f>TEXT(WEEKDAY(DATE(AnnéeCalendrier,1,29),1),"jjj")</f>
        <v>lun</v>
      </c>
      <c r="AF5" s="2" t="str">
        <f>TEXT(WEEKDAY(DATE(AnnéeCalendrier,1,30),1),"jjj")</f>
        <v>mar</v>
      </c>
      <c r="AG5" s="2" t="str">
        <f>TEXT(WEEKDAY(DATE(AnnéeCalendrier,1,31),1),"jjj")</f>
        <v>mer</v>
      </c>
      <c r="AH5" s="10"/>
    </row>
    <row r="6" spans="1: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4" t="s">
        <v>50</v>
      </c>
    </row>
    <row r="7" spans="1:34" ht="30" customHeight="1" x14ac:dyDescent="0.35">
      <c r="B7" s="8" t="s">
        <v>4</v>
      </c>
      <c r="C7" s="2"/>
      <c r="D7" s="2"/>
      <c r="E7" s="2" t="s">
        <v>9</v>
      </c>
      <c r="F7" s="2" t="s">
        <v>9</v>
      </c>
      <c r="G7" s="2" t="s">
        <v>9</v>
      </c>
      <c r="H7" s="2" t="s">
        <v>9</v>
      </c>
      <c r="I7" s="2"/>
      <c r="J7" s="2"/>
      <c r="K7" s="2"/>
      <c r="L7" s="2"/>
      <c r="M7" s="2"/>
      <c r="N7" s="2"/>
      <c r="O7" s="2" t="s">
        <v>9</v>
      </c>
      <c r="P7" s="2"/>
      <c r="Q7" s="2"/>
      <c r="R7" s="2"/>
      <c r="S7" s="2"/>
      <c r="T7" s="2"/>
      <c r="U7" s="2"/>
      <c r="V7" s="2"/>
      <c r="W7" s="2"/>
      <c r="X7" s="2"/>
      <c r="Y7" s="2"/>
      <c r="Z7" s="2"/>
      <c r="AA7" s="2"/>
      <c r="AB7" s="2"/>
      <c r="AC7" s="2"/>
      <c r="AD7" s="2"/>
      <c r="AE7" s="2"/>
      <c r="AF7" s="2"/>
      <c r="AG7" s="2"/>
      <c r="AH7" s="9">
        <f>COUNTA(Janvier!$C7:$AG7)</f>
        <v>5</v>
      </c>
    </row>
    <row r="8" spans="1:34" ht="30" customHeight="1" x14ac:dyDescent="0.35">
      <c r="B8" s="8" t="s">
        <v>5</v>
      </c>
      <c r="C8" s="2"/>
      <c r="D8" s="2"/>
      <c r="E8" s="2"/>
      <c r="F8" s="2"/>
      <c r="G8" s="2" t="s">
        <v>17</v>
      </c>
      <c r="H8" s="2" t="s">
        <v>17</v>
      </c>
      <c r="I8" s="2"/>
      <c r="J8" s="2"/>
      <c r="K8" s="2"/>
      <c r="L8" s="2"/>
      <c r="M8" s="2" t="s">
        <v>15</v>
      </c>
      <c r="N8" s="2"/>
      <c r="O8" s="2"/>
      <c r="P8" s="2"/>
      <c r="Q8" s="2"/>
      <c r="R8" s="2"/>
      <c r="S8" s="2"/>
      <c r="T8" s="2"/>
      <c r="U8" s="2"/>
      <c r="V8" s="2" t="s">
        <v>17</v>
      </c>
      <c r="W8" s="2"/>
      <c r="X8" s="2"/>
      <c r="Y8" s="2"/>
      <c r="Z8" s="2"/>
      <c r="AA8" s="2" t="s">
        <v>9</v>
      </c>
      <c r="AB8" s="2" t="s">
        <v>9</v>
      </c>
      <c r="AC8" s="2" t="s">
        <v>9</v>
      </c>
      <c r="AD8" s="2"/>
      <c r="AE8" s="2"/>
      <c r="AF8" s="2"/>
      <c r="AG8" s="2"/>
      <c r="AH8" s="9">
        <f>COUNTA(Janvier!$C8:$AG8)</f>
        <v>7</v>
      </c>
    </row>
    <row r="9" spans="1:34" ht="30" customHeight="1" x14ac:dyDescent="0.35">
      <c r="B9" s="8" t="s">
        <v>6</v>
      </c>
      <c r="C9" s="2"/>
      <c r="D9" s="2"/>
      <c r="E9" s="2" t="s">
        <v>15</v>
      </c>
      <c r="F9" s="2"/>
      <c r="G9" s="2"/>
      <c r="H9" s="2"/>
      <c r="I9" s="2"/>
      <c r="J9" s="2"/>
      <c r="K9" s="2"/>
      <c r="L9" s="2"/>
      <c r="M9" s="2"/>
      <c r="N9" s="2"/>
      <c r="O9" s="2"/>
      <c r="P9" s="2" t="s">
        <v>17</v>
      </c>
      <c r="Q9" s="2"/>
      <c r="R9" s="2"/>
      <c r="S9" s="2"/>
      <c r="T9" s="2"/>
      <c r="U9" s="2"/>
      <c r="V9" s="2"/>
      <c r="W9" s="2"/>
      <c r="X9" s="2"/>
      <c r="Y9" s="2"/>
      <c r="Z9" s="2"/>
      <c r="AA9" s="2"/>
      <c r="AB9" s="2"/>
      <c r="AC9" s="2"/>
      <c r="AD9" s="2"/>
      <c r="AE9" s="2" t="s">
        <v>17</v>
      </c>
      <c r="AF9" s="2"/>
      <c r="AG9" s="2"/>
      <c r="AH9" s="9">
        <f>COUNTA(Janvier!$C9:$AG9)</f>
        <v>3</v>
      </c>
    </row>
    <row r="10" spans="1:34" ht="30" customHeight="1" x14ac:dyDescent="0.35">
      <c r="B10" s="8" t="s">
        <v>7</v>
      </c>
      <c r="C10" s="2"/>
      <c r="D10" s="2"/>
      <c r="E10" s="2"/>
      <c r="F10" s="2"/>
      <c r="G10" s="2"/>
      <c r="H10" s="2"/>
      <c r="I10" s="2" t="s">
        <v>15</v>
      </c>
      <c r="J10" s="2"/>
      <c r="K10" s="2"/>
      <c r="L10" s="2"/>
      <c r="M10" s="2"/>
      <c r="N10" s="2"/>
      <c r="O10" s="2"/>
      <c r="P10" s="2"/>
      <c r="Q10" s="2"/>
      <c r="R10" s="2"/>
      <c r="S10" s="2"/>
      <c r="T10" s="2"/>
      <c r="U10" s="2" t="s">
        <v>9</v>
      </c>
      <c r="V10" s="2" t="s">
        <v>9</v>
      </c>
      <c r="W10" s="2" t="s">
        <v>9</v>
      </c>
      <c r="X10" s="2"/>
      <c r="Y10" s="2"/>
      <c r="Z10" s="2"/>
      <c r="AA10" s="2"/>
      <c r="AB10" s="2"/>
      <c r="AC10" s="2"/>
      <c r="AD10" s="2"/>
      <c r="AE10" s="2"/>
      <c r="AF10" s="2"/>
      <c r="AG10" s="2"/>
      <c r="AH10" s="9">
        <f>COUNTA(Janvier!$C10:$AG10)</f>
        <v>4</v>
      </c>
    </row>
    <row r="11" spans="1:34" ht="30" customHeight="1" x14ac:dyDescent="0.35">
      <c r="B11" s="8" t="s">
        <v>8</v>
      </c>
      <c r="C11" s="2"/>
      <c r="D11" s="2"/>
      <c r="E11" s="2"/>
      <c r="F11" s="2" t="s">
        <v>17</v>
      </c>
      <c r="G11" s="2" t="s">
        <v>9</v>
      </c>
      <c r="H11" s="2" t="s">
        <v>9</v>
      </c>
      <c r="I11" s="2"/>
      <c r="J11" s="2"/>
      <c r="K11" s="2"/>
      <c r="L11" s="2"/>
      <c r="M11" s="2"/>
      <c r="N11" s="2"/>
      <c r="O11" s="2"/>
      <c r="P11" s="2"/>
      <c r="Q11" s="2"/>
      <c r="R11" s="2"/>
      <c r="S11" s="2" t="s">
        <v>17</v>
      </c>
      <c r="T11" s="2"/>
      <c r="U11" s="2"/>
      <c r="V11" s="2"/>
      <c r="W11" s="2"/>
      <c r="X11" s="2"/>
      <c r="Y11" s="2"/>
      <c r="Z11" s="2" t="s">
        <v>17</v>
      </c>
      <c r="AA11" s="2"/>
      <c r="AB11" s="2"/>
      <c r="AC11" s="2"/>
      <c r="AD11" s="2"/>
      <c r="AE11" s="2"/>
      <c r="AF11" s="2"/>
      <c r="AG11" s="2" t="s">
        <v>9</v>
      </c>
      <c r="AH11" s="9">
        <f>COUNTA(Janvier!$C11:$AG11)</f>
        <v>6</v>
      </c>
    </row>
    <row r="12" spans="1:34" ht="30" customHeight="1" x14ac:dyDescent="0.35">
      <c r="B12" s="18" t="str">
        <f>NomMois&amp;" Total"</f>
        <v>Janvier Total</v>
      </c>
      <c r="C12" s="11">
        <f>SUBTOTAL(103,Janvier!$C$7:$C$11)</f>
        <v>0</v>
      </c>
      <c r="D12" s="11">
        <f>SUBTOTAL(103,Janvier!$D$7:$D$11)</f>
        <v>0</v>
      </c>
      <c r="E12" s="11">
        <f>SUBTOTAL(103,Janvier!$E$7:$E$11)</f>
        <v>2</v>
      </c>
      <c r="F12" s="11">
        <f>SUBTOTAL(103,Janvier!$F$7:$F$11)</f>
        <v>2</v>
      </c>
      <c r="G12" s="11">
        <f>SUBTOTAL(103,Janvier!$G$7:$G$11)</f>
        <v>3</v>
      </c>
      <c r="H12" s="11">
        <f>SUBTOTAL(103,Janvier!$H$7:$H$11)</f>
        <v>3</v>
      </c>
      <c r="I12" s="11">
        <f>SUBTOTAL(103,Janvier!$I$7:$I$11)</f>
        <v>1</v>
      </c>
      <c r="J12" s="11">
        <f>SUBTOTAL(103,Janvier!$J$7:$J$11)</f>
        <v>0</v>
      </c>
      <c r="K12" s="11">
        <f>SUBTOTAL(103,Janvier!$K$7:$K$11)</f>
        <v>0</v>
      </c>
      <c r="L12" s="11">
        <f>SUBTOTAL(103,Janvier!$L$7:$L$11)</f>
        <v>0</v>
      </c>
      <c r="M12" s="11">
        <f>SUBTOTAL(103,Janvier!$M$7:$M$11)</f>
        <v>1</v>
      </c>
      <c r="N12" s="11">
        <f>SUBTOTAL(103,Janvier!$N$7:$N$11)</f>
        <v>0</v>
      </c>
      <c r="O12" s="11">
        <f>SUBTOTAL(103,Janvier!$O$7:$O$11)</f>
        <v>1</v>
      </c>
      <c r="P12" s="11">
        <f>SUBTOTAL(103,Janvier!$P$7:$P$11)</f>
        <v>1</v>
      </c>
      <c r="Q12" s="11">
        <f>SUBTOTAL(103,Janvier!$Q$7:$Q$11)</f>
        <v>0</v>
      </c>
      <c r="R12" s="11">
        <f>SUBTOTAL(103,Janvier!$R$7:$R$11)</f>
        <v>0</v>
      </c>
      <c r="S12" s="11">
        <f>SUBTOTAL(103,Janvier!$S$7:$S$11)</f>
        <v>1</v>
      </c>
      <c r="T12" s="11">
        <f>SUBTOTAL(103,Janvier!$T$7:$T$11)</f>
        <v>0</v>
      </c>
      <c r="U12" s="11">
        <f>SUBTOTAL(103,Janvier!$U$7:$U$11)</f>
        <v>1</v>
      </c>
      <c r="V12" s="11">
        <f>SUBTOTAL(103,Janvier!$V$7:$V$11)</f>
        <v>2</v>
      </c>
      <c r="W12" s="11">
        <f>SUBTOTAL(103,Janvier!$W$7:$W$11)</f>
        <v>1</v>
      </c>
      <c r="X12" s="11">
        <f>SUBTOTAL(103,Janvier!$X$7:$X$11)</f>
        <v>0</v>
      </c>
      <c r="Y12" s="11">
        <f>SUBTOTAL(103,Janvier!$Y$7:$Y$11)</f>
        <v>0</v>
      </c>
      <c r="Z12" s="11">
        <f>SUBTOTAL(103,Janvier!$Z$7:$Z$11)</f>
        <v>1</v>
      </c>
      <c r="AA12" s="11">
        <f>SUBTOTAL(103,Janvier!$AA$7:$AA$11)</f>
        <v>1</v>
      </c>
      <c r="AB12" s="11">
        <f>SUBTOTAL(103,Janvier!$AB$7:$AB$11)</f>
        <v>1</v>
      </c>
      <c r="AC12" s="11">
        <f>SUBTOTAL(103,Janvier!$AC$7:$AC$11)</f>
        <v>1</v>
      </c>
      <c r="AD12" s="11">
        <f>SUBTOTAL(103,Janvier!$AD$7:$AD$11)</f>
        <v>0</v>
      </c>
      <c r="AE12" s="11">
        <f>SUBTOTAL(103,Janvier!$AE$7:$AE$11)</f>
        <v>1</v>
      </c>
      <c r="AF12" s="11">
        <f>SUBTOTAL(103,Janvier!$AF$7:$AF$11)</f>
        <v>0</v>
      </c>
      <c r="AG12" s="11">
        <f>SUBTOTAL(103,Janvier!$AG$7:$AG$11)</f>
        <v>1</v>
      </c>
      <c r="AH12" s="11">
        <f>SUBTOTAL(109,Janvier[Total des jours])</f>
        <v>25</v>
      </c>
    </row>
  </sheetData>
  <mergeCells count="6">
    <mergeCell ref="C4:AG4"/>
    <mergeCell ref="D2:E2"/>
    <mergeCell ref="G2:I2"/>
    <mergeCell ref="K2:L2"/>
    <mergeCell ref="N2:Q2"/>
    <mergeCell ref="S2:V2"/>
  </mergeCells>
  <conditionalFormatting sqref="C7:AG11">
    <cfRule type="expression" priority="1" stopIfTrue="1">
      <formula>C7=""</formula>
    </cfRule>
    <cfRule type="expression" dxfId="889" priority="6" stopIfTrue="1">
      <formula>C7=CléPersonnalisée2</formula>
    </cfRule>
    <cfRule type="expression" dxfId="888" priority="7" stopIfTrue="1">
      <formula>C7=CléPersonnalisée1</formula>
    </cfRule>
    <cfRule type="expression" dxfId="887" priority="8" stopIfTrue="1">
      <formula>C7=CléMaladie</formula>
    </cfRule>
    <cfRule type="expression" dxfId="886" priority="9" stopIfTrue="1">
      <formula>C7=CléPersonnel</formula>
    </cfRule>
    <cfRule type="expression" dxfId="885" priority="10" stopIfTrue="1">
      <formula>C7=CléCongé</formula>
    </cfRule>
  </conditionalFormatting>
  <conditionalFormatting sqref="AH7:AH11">
    <cfRule type="dataBar" priority="168">
      <dataBar>
        <cfvo type="num" val="0"/>
        <cfvo type="num" val="31"/>
        <color theme="2" tint="-0.249977111117893"/>
      </dataBar>
      <extLst>
        <ext xmlns:x14="http://schemas.microsoft.com/office/spreadsheetml/2009/9/main" uri="{B025F937-C7B1-47D3-B67F-A62EFF666E3E}">
          <x14:id>{ECCE2C3C-1B01-4700-B60E-DAAAB19A9C1A}</x14:id>
        </ext>
      </extLst>
    </cfRule>
  </conditionalFormatting>
  <dataValidations count="15">
    <dataValidation allowBlank="1" showInputMessage="1" showErrorMessage="1" prompt="Entrez l’année dans cette cellule." sqref="AH4" xr:uid="{00000000-0002-0000-0000-000000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000-000001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000-000002000000}"/>
    <dataValidation allowBlank="1" showInputMessage="1" showErrorMessage="1" prompt="Les jours de la semaine dans cette ligne sont mis à jour automatiquement pour le mois en fonction de l’année entrée dans AH4. Chaque jour du mois est une colonne dans laquelle noter l’absence et le motif d’absence d’un employé" sqref="C5" xr:uid="{00000000-0002-0000-0000-000003000000}"/>
    <dataValidation allowBlank="1" showInputMessage="1" showErrorMessage="1" prompt="Calcule automatiquement le nombre total de jours d’absence d’un employé durant ce mois" sqref="AH6" xr:uid="{00000000-0002-0000-0000-000004000000}"/>
    <dataValidation allowBlank="1" showInputMessage="1" showErrorMessage="1" prompt="Si vous mettez à jour le titre, le changement est automatiquement répercuté sur chaque feuille de calcul. Si vous mettez à jour le titre, le changement est automatiquement répercuté sur chaque feuille de calcul" sqref="B1" xr:uid="{00000000-0002-0000-0000-000005000000}"/>
    <dataValidation allowBlank="1" showInputMessage="1" showErrorMessage="1" prompt="Mois de ce calendrier des absences. Mettez à jour l’année dans la cellule AH4. Suivez les totaux mensuels dans la dernière cellule du tableau. Entrez les noms des employés dans la colonne B du tableau" sqref="B4" xr:uid="{00000000-0002-0000-0000-000006000000}"/>
    <dataValidation allowBlank="1" showInputMessage="1" showErrorMessage="1" prompt="Cette ligne définit les clés utilisées dans le tableau : Congé en C2, Personnel en F2 et Congé maladie en J2. Les cellules M2 et R2 sont personnalisables" sqref="B2" xr:uid="{00000000-0002-0000-0000-000007000000}"/>
    <dataValidation allowBlank="1" showInputMessage="1" showErrorMessage="1" prompt="La lettre « C » indique une absence pour cause de congé" sqref="C2" xr:uid="{00000000-0002-0000-0000-000008000000}"/>
    <dataValidation allowBlank="1" showInputMessage="1" showErrorMessage="1" prompt="La lettre « P » indique une absence pour motifs personnels" sqref="F2" xr:uid="{00000000-0002-0000-0000-000009000000}"/>
    <dataValidation allowBlank="1" showInputMessage="1" showErrorMessage="1" prompt="La lettre « M » indique une absence pour cause de maladie" sqref="J2" xr:uid="{00000000-0002-0000-0000-00000A000000}"/>
    <dataValidation allowBlank="1" showInputMessage="1" showErrorMessage="1" prompt="Entrez une lettre et personnalisez l’étiquette à droite pour ajouter un élément de clé" sqref="M2 R2" xr:uid="{00000000-0002-0000-0000-00000B000000}"/>
    <dataValidation allowBlank="1" showInputMessage="1" showErrorMessage="1" prompt="Entrez une étiquette pour décrire la clé personnalisée à gauche" sqref="N2 S2" xr:uid="{00000000-0002-0000-0000-00000C000000}"/>
    <dataValidation allowBlank="1" showInputMessage="1" showErrorMessage="1" prompt="Le Calendrier des absences des employés suit les absences exprimées en jours pour chaque mois. Il existe 13 feuilles de calcul, 12 mensuelles et la dernière pour les noms des employés. Suivez les absences du mois de janvier dans cette feuille de calcul" sqref="A1" xr:uid="{00000000-0002-0000-0000-00000D000000}"/>
    <dataValidation allowBlank="1" showInputMessage="1" showErrorMessage="1" prompt="Entrez l’année dans la cellule ci-dessous" sqref="AH3" xr:uid="{00000000-0002-0000-0000-00000E000000}"/>
  </dataValidations>
  <pageMargins left="0.7" right="0.7" top="0.75" bottom="0.75" header="0.3" footer="0.3"/>
  <pageSetup paperSize="9" fitToHeight="0"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CCE2C3C-1B01-4700-B60E-DAAAB19A9C1A}">
            <x14:dataBar minLength="0" maxLength="100">
              <x14:cfvo type="num">
                <xm:f>0</xm:f>
              </x14:cfvo>
              <x14:cfvo type="num">
                <xm:f>31</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F000000}">
          <x14:formula1>
            <xm:f>'Noms des employés'!$B$4:$B$8</xm:f>
          </x14:formula1>
          <xm:sqref>B7:B11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61</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TEXT(WEEKDAY(DATE(AnnéeCalendrier,10,1),1),"jjj")</f>
        <v>mar</v>
      </c>
      <c r="D5" s="2" t="str">
        <f>TEXT(WEEKDAY(DATE(AnnéeCalendrier,10,2),1),"jjj")</f>
        <v>mer</v>
      </c>
      <c r="E5" s="2" t="str">
        <f>TEXT(WEEKDAY(DATE(AnnéeCalendrier,10,3),1),"jjj")</f>
        <v>jeu</v>
      </c>
      <c r="F5" s="2" t="str">
        <f>TEXT(WEEKDAY(DATE(AnnéeCalendrier,10,4),1),"jjj")</f>
        <v>ven</v>
      </c>
      <c r="G5" s="2" t="str">
        <f>TEXT(WEEKDAY(DATE(AnnéeCalendrier,10,5),1),"jjj")</f>
        <v>sam</v>
      </c>
      <c r="H5" s="2" t="str">
        <f>TEXT(WEEKDAY(DATE(AnnéeCalendrier,10,6),1),"jjj")</f>
        <v>dim</v>
      </c>
      <c r="I5" s="2" t="str">
        <f>TEXT(WEEKDAY(DATE(AnnéeCalendrier,10,7),1),"jjj")</f>
        <v>lun</v>
      </c>
      <c r="J5" s="2" t="str">
        <f>TEXT(WEEKDAY(DATE(AnnéeCalendrier,10,8),1),"jjj")</f>
        <v>mar</v>
      </c>
      <c r="K5" s="2" t="str">
        <f>TEXT(WEEKDAY(DATE(AnnéeCalendrier,10,9),1),"jjj")</f>
        <v>mer</v>
      </c>
      <c r="L5" s="2" t="str">
        <f>TEXT(WEEKDAY(DATE(AnnéeCalendrier,10,10),1),"jjj")</f>
        <v>jeu</v>
      </c>
      <c r="M5" s="2" t="str">
        <f>TEXT(WEEKDAY(DATE(AnnéeCalendrier,10,11),1),"jjj")</f>
        <v>ven</v>
      </c>
      <c r="N5" s="2" t="str">
        <f>TEXT(WEEKDAY(DATE(AnnéeCalendrier,10,12),1),"jjj")</f>
        <v>sam</v>
      </c>
      <c r="O5" s="2" t="str">
        <f>TEXT(WEEKDAY(DATE(AnnéeCalendrier,10,13),1),"jjj")</f>
        <v>dim</v>
      </c>
      <c r="P5" s="2" t="str">
        <f>TEXT(WEEKDAY(DATE(AnnéeCalendrier,10,14),1),"jjj")</f>
        <v>lun</v>
      </c>
      <c r="Q5" s="2" t="str">
        <f>TEXT(WEEKDAY(DATE(AnnéeCalendrier,10,15),1),"jjj")</f>
        <v>mar</v>
      </c>
      <c r="R5" s="2" t="str">
        <f>TEXT(WEEKDAY(DATE(AnnéeCalendrier,10,16),1),"jjj")</f>
        <v>mer</v>
      </c>
      <c r="S5" s="2" t="str">
        <f>TEXT(WEEKDAY(DATE(AnnéeCalendrier,10,17),1),"jjj")</f>
        <v>jeu</v>
      </c>
      <c r="T5" s="2" t="str">
        <f>TEXT(WEEKDAY(DATE(AnnéeCalendrier,10,18),1),"jjj")</f>
        <v>ven</v>
      </c>
      <c r="U5" s="2" t="str">
        <f>TEXT(WEEKDAY(DATE(AnnéeCalendrier,10,19),1),"jjj")</f>
        <v>sam</v>
      </c>
      <c r="V5" s="2" t="str">
        <f>TEXT(WEEKDAY(DATE(AnnéeCalendrier,10,20),1),"jjj")</f>
        <v>dim</v>
      </c>
      <c r="W5" s="2" t="str">
        <f>TEXT(WEEKDAY(DATE(AnnéeCalendrier,10,21),1),"jjj")</f>
        <v>lun</v>
      </c>
      <c r="X5" s="2" t="str">
        <f>TEXT(WEEKDAY(DATE(AnnéeCalendrier,10,22),1),"jjj")</f>
        <v>mar</v>
      </c>
      <c r="Y5" s="2" t="str">
        <f>TEXT(WEEKDAY(DATE(AnnéeCalendrier,10,23),1),"jjj")</f>
        <v>mer</v>
      </c>
      <c r="Z5" s="2" t="str">
        <f>TEXT(WEEKDAY(DATE(AnnéeCalendrier,10,24),1),"jjj")</f>
        <v>jeu</v>
      </c>
      <c r="AA5" s="2" t="str">
        <f>TEXT(WEEKDAY(DATE(AnnéeCalendrier,10,25),1),"jjj")</f>
        <v>ven</v>
      </c>
      <c r="AB5" s="2" t="str">
        <f>TEXT(WEEKDAY(DATE(AnnéeCalendrier,10,26),1),"jjj")</f>
        <v>sam</v>
      </c>
      <c r="AC5" s="2" t="str">
        <f>TEXT(WEEKDAY(DATE(AnnéeCalendrier,10,27),1),"jjj")</f>
        <v>dim</v>
      </c>
      <c r="AD5" s="2" t="str">
        <f>TEXT(WEEKDAY(DATE(AnnéeCalendrier,10,28),1),"jjj")</f>
        <v>lun</v>
      </c>
      <c r="AE5" s="2" t="str">
        <f>TEXT(WEEKDAY(DATE(AnnéeCalendrier,10,29),1),"jjj")</f>
        <v>mar</v>
      </c>
      <c r="AF5" s="2" t="str">
        <f>TEXT(WEEKDAY(DATE(AnnéeCalendrier,10,30),1),"jjj")</f>
        <v>mer</v>
      </c>
      <c r="AG5" s="2" t="str">
        <f>TEXT(WEEKDAY(DATE(AnnéeCalendrier,10,31),1),"jjj")</f>
        <v>jeu</v>
      </c>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COUNTA(Octobre[[#This Row],[1]:[31]])</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COUNTA(Octobre[[#This Row],[1]:[31]])</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COUNTA(Octobre[[#This Row],[1]:[31]])</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COUNTA(Octobre[[#This Row],[1]:[31]])</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COUNTA(Octobre[[#This Row],[1]:[31]])</f>
        <v>0</v>
      </c>
    </row>
    <row r="12" spans="2:34" ht="30" customHeight="1" x14ac:dyDescent="0.35">
      <c r="B12" s="18" t="str">
        <f>NomMois&amp;" Total"</f>
        <v>Octobre Total</v>
      </c>
      <c r="C12" s="11">
        <f>SUBTOTAL(103,Octobre[1])</f>
        <v>0</v>
      </c>
      <c r="D12" s="11">
        <f>SUBTOTAL(103,Octobre[2])</f>
        <v>0</v>
      </c>
      <c r="E12" s="11">
        <f>SUBTOTAL(103,Octobre[3])</f>
        <v>0</v>
      </c>
      <c r="F12" s="11">
        <f>SUBTOTAL(103,Octobre[4])</f>
        <v>0</v>
      </c>
      <c r="G12" s="11">
        <f>SUBTOTAL(103,Octobre[5])</f>
        <v>0</v>
      </c>
      <c r="H12" s="11">
        <f>SUBTOTAL(103,Octobre[6])</f>
        <v>0</v>
      </c>
      <c r="I12" s="11">
        <f>SUBTOTAL(103,Octobre[7])</f>
        <v>0</v>
      </c>
      <c r="J12" s="11">
        <f>SUBTOTAL(103,Octobre[8])</f>
        <v>0</v>
      </c>
      <c r="K12" s="11">
        <f>SUBTOTAL(103,Octobre[9])</f>
        <v>0</v>
      </c>
      <c r="L12" s="11">
        <f>SUBTOTAL(103,Octobre[10])</f>
        <v>0</v>
      </c>
      <c r="M12" s="11">
        <f>SUBTOTAL(103,Octobre[11])</f>
        <v>0</v>
      </c>
      <c r="N12" s="11">
        <f>SUBTOTAL(103,Octobre[12])</f>
        <v>0</v>
      </c>
      <c r="O12" s="11">
        <f>SUBTOTAL(103,Octobre[13])</f>
        <v>0</v>
      </c>
      <c r="P12" s="11">
        <f>SUBTOTAL(103,Octobre[14])</f>
        <v>0</v>
      </c>
      <c r="Q12" s="11">
        <f>SUBTOTAL(103,Octobre[15])</f>
        <v>0</v>
      </c>
      <c r="R12" s="11">
        <f>SUBTOTAL(103,Octobre[16])</f>
        <v>0</v>
      </c>
      <c r="S12" s="11">
        <f>SUBTOTAL(103,Octobre[17])</f>
        <v>0</v>
      </c>
      <c r="T12" s="11">
        <f>SUBTOTAL(103,Octobre[18])</f>
        <v>0</v>
      </c>
      <c r="U12" s="11">
        <f>SUBTOTAL(103,Octobre[19])</f>
        <v>0</v>
      </c>
      <c r="V12" s="11">
        <f>SUBTOTAL(103,Octobre[20])</f>
        <v>0</v>
      </c>
      <c r="W12" s="11">
        <f>SUBTOTAL(103,Octobre[21])</f>
        <v>0</v>
      </c>
      <c r="X12" s="11">
        <f>SUBTOTAL(103,Octobre[22])</f>
        <v>0</v>
      </c>
      <c r="Y12" s="11">
        <f>SUBTOTAL(103,Octobre[23])</f>
        <v>0</v>
      </c>
      <c r="Z12" s="11">
        <f>SUBTOTAL(103,Octobre[24])</f>
        <v>0</v>
      </c>
      <c r="AA12" s="11">
        <f>SUBTOTAL(103,Octobre[25])</f>
        <v>0</v>
      </c>
      <c r="AB12" s="11">
        <f>SUBTOTAL(103,Octobre[26])</f>
        <v>0</v>
      </c>
      <c r="AC12" s="11">
        <f>SUBTOTAL(103,Octobre[27])</f>
        <v>0</v>
      </c>
      <c r="AD12" s="11">
        <f>SUBTOTAL(103,Octobre[28])</f>
        <v>0</v>
      </c>
      <c r="AE12" s="11">
        <f>SUBTOTAL(103,Octobre[29])</f>
        <v>0</v>
      </c>
      <c r="AF12" s="11">
        <f>SUBTOTAL(103,Octobre[30])</f>
        <v>0</v>
      </c>
      <c r="AG12" s="11">
        <f>SUBTOTAL(103,Octobre[31])</f>
        <v>0</v>
      </c>
      <c r="AH12" s="11">
        <f>SUBTOTAL(109,Octobre[Total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222" priority="2" stopIfTrue="1">
      <formula>C7=CléPersonnalisée2</formula>
    </cfRule>
    <cfRule type="expression" dxfId="221" priority="3" stopIfTrue="1">
      <formula>C7=CléPersonnalisée1</formula>
    </cfRule>
    <cfRule type="expression" dxfId="220" priority="4" stopIfTrue="1">
      <formula>C7=CléMaladie</formula>
    </cfRule>
    <cfRule type="expression" dxfId="219" priority="5" stopIfTrue="1">
      <formula>C7=CléPersonnel</formula>
    </cfRule>
    <cfRule type="expression" dxfId="218" priority="6" stopIfTrue="1">
      <formula>C7=CléCongé</formula>
    </cfRule>
  </conditionalFormatting>
  <conditionalFormatting sqref="AH7:AH11">
    <cfRule type="dataBar" priority="7">
      <dataBar>
        <cfvo type="min"/>
        <cfvo type="formula" val="DATEDIF(DATE(AnnéeCalendrier,2,1),DATE(AnnéeCalendrier,3,1),&quot;d&quot;)"/>
        <color theme="2" tint="-0.249977111117893"/>
      </dataBar>
      <extLst>
        <ext xmlns:x14="http://schemas.microsoft.com/office/spreadsheetml/2009/9/main" uri="{B025F937-C7B1-47D3-B67F-A62EFF666E3E}">
          <x14:id>{F32A08EA-50E8-4B5F-AB1F-5A7739FBC16C}</x14:id>
        </ext>
      </extLst>
    </cfRule>
  </conditionalFormatting>
  <dataValidations count="14">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900-000000000000}"/>
    <dataValidation allowBlank="1" showInputMessage="1" showErrorMessage="1" prompt="Année mise à jour automatiquement en fonction de l’année entrée dans la feuille de calcul Janvier" sqref="AH4" xr:uid="{00000000-0002-0000-0900-000001000000}"/>
    <dataValidation allowBlank="1" showInputMessage="1" showErrorMessage="1" prompt="Calcule automatiquement le nombre total de jours d’absence d’un employé durant ce mois dans cette colonne" sqref="AH6" xr:uid="{00000000-0002-0000-0900-000002000000}"/>
    <dataValidation allowBlank="1" showInputMessage="1" showErrorMessage="1" prompt="Suivez les absences du mois d’octobre dans cette feuille de calcul" sqref="A1" xr:uid="{00000000-0002-0000-0900-000003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900-000004000000}"/>
    <dataValidation allowBlank="1" showInputMessage="1" showErrorMessage="1" prompt="Le titre mis à jour automatiquement figure dans cette cellule. Pour modifier le titre, mettez à jour la cellule B1 de la feuille de calcul Janvier" sqref="B1" xr:uid="{00000000-0002-0000-0900-000005000000}"/>
    <dataValidation allowBlank="1" showInputMessage="1" showErrorMessage="1" prompt="La lettre « C » indique une absence pour cause de congé" sqref="C2" xr:uid="{00000000-0002-0000-0900-000006000000}"/>
    <dataValidation allowBlank="1" showInputMessage="1" showErrorMessage="1" prompt="La lettre « P » indique une absence pour motifs personnels" sqref="F2" xr:uid="{00000000-0002-0000-0900-000007000000}"/>
    <dataValidation allowBlank="1" showInputMessage="1" showErrorMessage="1" prompt="La lettre « M » indique une absence pour cause de maladie" sqref="J2" xr:uid="{00000000-0002-0000-0900-000008000000}"/>
    <dataValidation allowBlank="1" showInputMessage="1" showErrorMessage="1" prompt="Entrez une lettre et personnalisez l’étiquette à droite pour ajouter un élément de clé" sqref="M2 R2" xr:uid="{00000000-0002-0000-0900-000009000000}"/>
    <dataValidation allowBlank="1" showInputMessage="1" showErrorMessage="1" prompt="Entrez une étiquette pour décrire la clé personnalisée à gauche" sqref="N2 S2" xr:uid="{00000000-0002-0000-0900-00000A000000}"/>
    <dataValidation allowBlank="1" showInputMessage="1" showErrorMessage="1" prompt="Cette ligne définit les clés utilisées dans le tableau : Congé en C2, Personnel en F2 et Congé maladie en J2. Les cellules M2 et R2 sont personnalisables" sqref="B2" xr:uid="{00000000-0002-0000-0900-00000B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9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9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32A08EA-50E8-4B5F-AB1F-5A7739FBC16C}">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E000000}">
          <x14:formula1>
            <xm:f>'Noms des employés'!$B$4:$B$8</xm:f>
          </x14:formula1>
          <xm:sqref>B7:B11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249977111117893"/>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62</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TEXT(WEEKDAY(DATE(AnnéeCalendrier,11,1),1),"jjj")</f>
        <v>ven</v>
      </c>
      <c r="D5" s="2" t="str">
        <f>TEXT(WEEKDAY(DATE(AnnéeCalendrier,11,2),1),"jjj")</f>
        <v>sam</v>
      </c>
      <c r="E5" s="2" t="str">
        <f>TEXT(WEEKDAY(DATE(AnnéeCalendrier,11,3),1),"jjj")</f>
        <v>dim</v>
      </c>
      <c r="F5" s="2" t="str">
        <f>TEXT(WEEKDAY(DATE(AnnéeCalendrier,11,4),1),"jjj")</f>
        <v>lun</v>
      </c>
      <c r="G5" s="2" t="str">
        <f>TEXT(WEEKDAY(DATE(AnnéeCalendrier,11,5),1),"jjj")</f>
        <v>mar</v>
      </c>
      <c r="H5" s="2" t="str">
        <f>TEXT(WEEKDAY(DATE(AnnéeCalendrier,11,6),1),"jjj")</f>
        <v>mer</v>
      </c>
      <c r="I5" s="2" t="str">
        <f>TEXT(WEEKDAY(DATE(AnnéeCalendrier,11,7),1),"jjj")</f>
        <v>jeu</v>
      </c>
      <c r="J5" s="2" t="str">
        <f>TEXT(WEEKDAY(DATE(AnnéeCalendrier,11,8),1),"jjj")</f>
        <v>ven</v>
      </c>
      <c r="K5" s="2" t="str">
        <f>TEXT(WEEKDAY(DATE(AnnéeCalendrier,11,9),1),"jjj")</f>
        <v>sam</v>
      </c>
      <c r="L5" s="2" t="str">
        <f>TEXT(WEEKDAY(DATE(AnnéeCalendrier,11,10),1),"jjj")</f>
        <v>dim</v>
      </c>
      <c r="M5" s="2" t="str">
        <f>TEXT(WEEKDAY(DATE(AnnéeCalendrier,11,11),1),"jjj")</f>
        <v>lun</v>
      </c>
      <c r="N5" s="2" t="str">
        <f>TEXT(WEEKDAY(DATE(AnnéeCalendrier,11,12),1),"jjj")</f>
        <v>mar</v>
      </c>
      <c r="O5" s="2" t="str">
        <f>TEXT(WEEKDAY(DATE(AnnéeCalendrier,11,13),1),"jjj")</f>
        <v>mer</v>
      </c>
      <c r="P5" s="2" t="str">
        <f>TEXT(WEEKDAY(DATE(AnnéeCalendrier,11,14),1),"jjj")</f>
        <v>jeu</v>
      </c>
      <c r="Q5" s="2" t="str">
        <f>TEXT(WEEKDAY(DATE(AnnéeCalendrier,11,15),1),"jjj")</f>
        <v>ven</v>
      </c>
      <c r="R5" s="2" t="str">
        <f>TEXT(WEEKDAY(DATE(AnnéeCalendrier,11,16),1),"jjj")</f>
        <v>sam</v>
      </c>
      <c r="S5" s="2" t="str">
        <f>TEXT(WEEKDAY(DATE(AnnéeCalendrier,11,17),1),"jjj")</f>
        <v>dim</v>
      </c>
      <c r="T5" s="2" t="str">
        <f>TEXT(WEEKDAY(DATE(AnnéeCalendrier,11,18),1),"jjj")</f>
        <v>lun</v>
      </c>
      <c r="U5" s="2" t="str">
        <f>TEXT(WEEKDAY(DATE(AnnéeCalendrier,11,19),1),"jjj")</f>
        <v>mar</v>
      </c>
      <c r="V5" s="2" t="str">
        <f>TEXT(WEEKDAY(DATE(AnnéeCalendrier,11,20),1),"jjj")</f>
        <v>mer</v>
      </c>
      <c r="W5" s="2" t="str">
        <f>TEXT(WEEKDAY(DATE(AnnéeCalendrier,11,21),1),"jjj")</f>
        <v>jeu</v>
      </c>
      <c r="X5" s="2" t="str">
        <f>TEXT(WEEKDAY(DATE(AnnéeCalendrier,11,22),1),"jjj")</f>
        <v>ven</v>
      </c>
      <c r="Y5" s="2" t="str">
        <f>TEXT(WEEKDAY(DATE(AnnéeCalendrier,11,23),1),"jjj")</f>
        <v>sam</v>
      </c>
      <c r="Z5" s="2" t="str">
        <f>TEXT(WEEKDAY(DATE(AnnéeCalendrier,11,24),1),"jjj")</f>
        <v>dim</v>
      </c>
      <c r="AA5" s="2" t="str">
        <f>TEXT(WEEKDAY(DATE(AnnéeCalendrier,11,25),1),"jjj")</f>
        <v>lun</v>
      </c>
      <c r="AB5" s="2" t="str">
        <f>TEXT(WEEKDAY(DATE(AnnéeCalendrier,11,26),1),"jjj")</f>
        <v>mar</v>
      </c>
      <c r="AC5" s="2" t="str">
        <f>TEXT(WEEKDAY(DATE(AnnéeCalendrier,11,27),1),"jjj")</f>
        <v>mer</v>
      </c>
      <c r="AD5" s="2" t="str">
        <f>TEXT(WEEKDAY(DATE(AnnéeCalendrier,11,28),1),"jjj")</f>
        <v>jeu</v>
      </c>
      <c r="AE5" s="2" t="str">
        <f>TEXT(WEEKDAY(DATE(AnnéeCalendrier,11,29),1),"jjj")</f>
        <v>ven</v>
      </c>
      <c r="AF5" s="2" t="str">
        <f>TEXT(WEEKDAY(DATE(AnnéeCalendrier,11,30),1),"jjj")</f>
        <v>sam</v>
      </c>
      <c r="AG5" s="2"/>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52</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COUNTA(Novembre[[#This Row],[1]:[30]])</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COUNTA(Novembre[[#This Row],[1]:[30]])</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COUNTA(Novembre[[#This Row],[1]:[30]])</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COUNTA(Novembre[[#This Row],[1]:[30]])</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COUNTA(Novembre[[#This Row],[1]:[30]])</f>
        <v>0</v>
      </c>
    </row>
    <row r="12" spans="2:34" ht="30" customHeight="1" x14ac:dyDescent="0.35">
      <c r="B12" s="18" t="str">
        <f>NomMois&amp;" Total"</f>
        <v>Novembre Total</v>
      </c>
      <c r="C12" s="11">
        <f>SUBTOTAL(103,Novembre[1])</f>
        <v>0</v>
      </c>
      <c r="D12" s="11">
        <f>SUBTOTAL(103,Novembre[2])</f>
        <v>0</v>
      </c>
      <c r="E12" s="11">
        <f>SUBTOTAL(103,Novembre[3])</f>
        <v>0</v>
      </c>
      <c r="F12" s="11">
        <f>SUBTOTAL(103,Novembre[4])</f>
        <v>0</v>
      </c>
      <c r="G12" s="11">
        <f>SUBTOTAL(103,Novembre[5])</f>
        <v>0</v>
      </c>
      <c r="H12" s="11">
        <f>SUBTOTAL(103,Novembre[6])</f>
        <v>0</v>
      </c>
      <c r="I12" s="11">
        <f>SUBTOTAL(103,Novembre[7])</f>
        <v>0</v>
      </c>
      <c r="J12" s="11">
        <f>SUBTOTAL(103,Novembre[8])</f>
        <v>0</v>
      </c>
      <c r="K12" s="11">
        <f>SUBTOTAL(103,Novembre[9])</f>
        <v>0</v>
      </c>
      <c r="L12" s="11">
        <f>SUBTOTAL(103,Novembre[10])</f>
        <v>0</v>
      </c>
      <c r="M12" s="11">
        <f>SUBTOTAL(103,Novembre[11])</f>
        <v>0</v>
      </c>
      <c r="N12" s="11">
        <f>SUBTOTAL(103,Novembre[12])</f>
        <v>0</v>
      </c>
      <c r="O12" s="11">
        <f>SUBTOTAL(103,Novembre[13])</f>
        <v>0</v>
      </c>
      <c r="P12" s="11">
        <f>SUBTOTAL(103,Novembre[14])</f>
        <v>0</v>
      </c>
      <c r="Q12" s="11">
        <f>SUBTOTAL(103,Novembre[15])</f>
        <v>0</v>
      </c>
      <c r="R12" s="11">
        <f>SUBTOTAL(103,Novembre[16])</f>
        <v>0</v>
      </c>
      <c r="S12" s="11">
        <f>SUBTOTAL(103,Novembre[17])</f>
        <v>0</v>
      </c>
      <c r="T12" s="11">
        <f>SUBTOTAL(103,Novembre[18])</f>
        <v>0</v>
      </c>
      <c r="U12" s="11">
        <f>SUBTOTAL(103,Novembre[19])</f>
        <v>0</v>
      </c>
      <c r="V12" s="11">
        <f>SUBTOTAL(103,Novembre[20])</f>
        <v>0</v>
      </c>
      <c r="W12" s="11">
        <f>SUBTOTAL(103,Novembre[21])</f>
        <v>0</v>
      </c>
      <c r="X12" s="11">
        <f>SUBTOTAL(103,Novembre[22])</f>
        <v>0</v>
      </c>
      <c r="Y12" s="11">
        <f>SUBTOTAL(103,Novembre[23])</f>
        <v>0</v>
      </c>
      <c r="Z12" s="11">
        <f>SUBTOTAL(103,Novembre[24])</f>
        <v>0</v>
      </c>
      <c r="AA12" s="11">
        <f>SUBTOTAL(103,Novembre[25])</f>
        <v>0</v>
      </c>
      <c r="AB12" s="11">
        <f>SUBTOTAL(103,Novembre[26])</f>
        <v>0</v>
      </c>
      <c r="AC12" s="11">
        <f>SUBTOTAL(103,Novembre[27])</f>
        <v>0</v>
      </c>
      <c r="AD12" s="11">
        <f>SUBTOTAL(103,Novembre[28])</f>
        <v>0</v>
      </c>
      <c r="AE12" s="11">
        <f>SUBTOTAL(103,Novembre[29])</f>
        <v>0</v>
      </c>
      <c r="AF12" s="11">
        <f>SUBTOTAL(103,Novembre[30])</f>
        <v>0</v>
      </c>
      <c r="AG12" s="11">
        <f>SUBTOTAL(103,Novembre[[ ]])</f>
        <v>0</v>
      </c>
      <c r="AH12" s="11">
        <f>SUBTOTAL(109,Novembre[Total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148" priority="2" stopIfTrue="1">
      <formula>C7=CléPersonnalisée2</formula>
    </cfRule>
    <cfRule type="expression" dxfId="147" priority="3" stopIfTrue="1">
      <formula>C7=CléPersonnalisée1</formula>
    </cfRule>
    <cfRule type="expression" dxfId="146" priority="4" stopIfTrue="1">
      <formula>C7=CléMaladie</formula>
    </cfRule>
    <cfRule type="expression" dxfId="145" priority="5" stopIfTrue="1">
      <formula>C7=CléPersonnel</formula>
    </cfRule>
    <cfRule type="expression" dxfId="144" priority="6" stopIfTrue="1">
      <formula>C7=CléCongé</formula>
    </cfRule>
  </conditionalFormatting>
  <conditionalFormatting sqref="AH7:AH11">
    <cfRule type="dataBar" priority="7">
      <dataBar>
        <cfvo type="min"/>
        <cfvo type="formula" val="DATEDIF(DATE(AnnéeCalendrier,2,1),DATE(AnnéeCalendrier,3,1),&quot;d&quot;)"/>
        <color theme="2" tint="-0.249977111117893"/>
      </dataBar>
      <extLst>
        <ext xmlns:x14="http://schemas.microsoft.com/office/spreadsheetml/2009/9/main" uri="{B025F937-C7B1-47D3-B67F-A62EFF666E3E}">
          <x14:id>{27D92E49-5CF1-46DF-AD7A-3A5E92F274F3}</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A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A00-000001000000}"/>
    <dataValidation allowBlank="1" showInputMessage="1" showErrorMessage="1" prompt="Cette ligne définit les clés utilisées dans le tableau : Congé en C2, Personnel en F2 et Congé maladie en J2. Les cellules M2 et R2 sont personnalisables" sqref="B2" xr:uid="{00000000-0002-0000-0A00-000002000000}"/>
    <dataValidation allowBlank="1" showInputMessage="1" showErrorMessage="1" prompt="Entrez une étiquette pour décrire la clé personnalisée à gauche" sqref="N2 S2" xr:uid="{00000000-0002-0000-0A00-000003000000}"/>
    <dataValidation allowBlank="1" showInputMessage="1" showErrorMessage="1" prompt="Entrez une lettre et personnalisez l’étiquette à droite pour ajouter un élément de clé" sqref="M2 R2" xr:uid="{00000000-0002-0000-0A00-000004000000}"/>
    <dataValidation allowBlank="1" showInputMessage="1" showErrorMessage="1" prompt="La lettre « M » indique une absence pour cause de maladie" sqref="J2" xr:uid="{00000000-0002-0000-0A00-000005000000}"/>
    <dataValidation allowBlank="1" showInputMessage="1" showErrorMessage="1" prompt="La lettre « P » indique une absence pour motifs personnels" sqref="F2" xr:uid="{00000000-0002-0000-0A00-000006000000}"/>
    <dataValidation allowBlank="1" showInputMessage="1" showErrorMessage="1" prompt="La lettre « C » indique une absence pour cause de congé" sqref="C2" xr:uid="{00000000-0002-0000-0A00-000007000000}"/>
    <dataValidation allowBlank="1" showInputMessage="1" showErrorMessage="1" prompt="Le titre mis à jour automatiquement figure dans cette cellule. Pour modifier le titre, mettez à jour la cellule B1 de la feuille de calcul Janvier" sqref="B1" xr:uid="{00000000-0002-0000-0A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A00-000009000000}"/>
    <dataValidation allowBlank="1" showInputMessage="1" showErrorMessage="1" prompt="Suivez les absences du mois de novembre dans cette feuille de calcul" sqref="A1" xr:uid="{00000000-0002-0000-0A00-00000A000000}"/>
    <dataValidation allowBlank="1" showInputMessage="1" showErrorMessage="1" prompt="Calcule automatiquement le nombre total de jours d’absence d’un employé durant ce mois dans cette colonne" sqref="AH6" xr:uid="{00000000-0002-0000-0A00-00000B000000}"/>
    <dataValidation allowBlank="1" showInputMessage="1" showErrorMessage="1" prompt="Année mise à jour automatiquement en fonction de l’année entrée dans la feuille de calcul Janvier" sqref="AH4" xr:uid="{00000000-0002-0000-0A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A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7D92E49-5CF1-46DF-AD7A-3A5E92F274F3}">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E000000}">
          <x14:formula1>
            <xm:f>'Noms des employés'!$B$4:$B$8</xm:f>
          </x14:formula1>
          <xm:sqref>B7:B11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63</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TEXT(WEEKDAY(DATE(AnnéeCalendrier,12,1),1),"jjj")</f>
        <v>dim</v>
      </c>
      <c r="D5" s="2" t="str">
        <f>TEXT(WEEKDAY(DATE(AnnéeCalendrier,12,2),1),"jjj")</f>
        <v>lun</v>
      </c>
      <c r="E5" s="2" t="str">
        <f>TEXT(WEEKDAY(DATE(AnnéeCalendrier,12,3),1),"jjj")</f>
        <v>mar</v>
      </c>
      <c r="F5" s="2" t="str">
        <f>TEXT(WEEKDAY(DATE(AnnéeCalendrier,12,4),1),"jjj")</f>
        <v>mer</v>
      </c>
      <c r="G5" s="2" t="str">
        <f>TEXT(WEEKDAY(DATE(AnnéeCalendrier,12,5),1),"jjj")</f>
        <v>jeu</v>
      </c>
      <c r="H5" s="2" t="str">
        <f>TEXT(WEEKDAY(DATE(AnnéeCalendrier,12,6),1),"jjj")</f>
        <v>ven</v>
      </c>
      <c r="I5" s="2" t="str">
        <f>TEXT(WEEKDAY(DATE(AnnéeCalendrier,12,7),1),"jjj")</f>
        <v>sam</v>
      </c>
      <c r="J5" s="2" t="str">
        <f>TEXT(WEEKDAY(DATE(AnnéeCalendrier,12,8),1),"jjj")</f>
        <v>dim</v>
      </c>
      <c r="K5" s="2" t="str">
        <f>TEXT(WEEKDAY(DATE(AnnéeCalendrier,12,9),1),"jjj")</f>
        <v>lun</v>
      </c>
      <c r="L5" s="2" t="str">
        <f>TEXT(WEEKDAY(DATE(AnnéeCalendrier,12,10),1),"jjj")</f>
        <v>mar</v>
      </c>
      <c r="M5" s="2" t="str">
        <f>TEXT(WEEKDAY(DATE(AnnéeCalendrier,12,11),1),"jjj")</f>
        <v>mer</v>
      </c>
      <c r="N5" s="2" t="str">
        <f>TEXT(WEEKDAY(DATE(AnnéeCalendrier,12,12),1),"jjj")</f>
        <v>jeu</v>
      </c>
      <c r="O5" s="2" t="str">
        <f>TEXT(WEEKDAY(DATE(AnnéeCalendrier,12,13),1),"jjj")</f>
        <v>ven</v>
      </c>
      <c r="P5" s="2" t="str">
        <f>TEXT(WEEKDAY(DATE(AnnéeCalendrier,12,14),1),"jjj")</f>
        <v>sam</v>
      </c>
      <c r="Q5" s="2" t="str">
        <f>TEXT(WEEKDAY(DATE(AnnéeCalendrier,12,15),1),"jjj")</f>
        <v>dim</v>
      </c>
      <c r="R5" s="2" t="str">
        <f>TEXT(WEEKDAY(DATE(AnnéeCalendrier,12,16),1),"jjj")</f>
        <v>lun</v>
      </c>
      <c r="S5" s="2" t="str">
        <f>TEXT(WEEKDAY(DATE(AnnéeCalendrier,12,17),1),"jjj")</f>
        <v>mar</v>
      </c>
      <c r="T5" s="2" t="str">
        <f>TEXT(WEEKDAY(DATE(AnnéeCalendrier,12,18),1),"jjj")</f>
        <v>mer</v>
      </c>
      <c r="U5" s="2" t="str">
        <f>TEXT(WEEKDAY(DATE(AnnéeCalendrier,12,19),1),"jjj")</f>
        <v>jeu</v>
      </c>
      <c r="V5" s="2" t="str">
        <f>TEXT(WEEKDAY(DATE(AnnéeCalendrier,12,20),1),"jjj")</f>
        <v>ven</v>
      </c>
      <c r="W5" s="2" t="str">
        <f>TEXT(WEEKDAY(DATE(AnnéeCalendrier,12,21),1),"jjj")</f>
        <v>sam</v>
      </c>
      <c r="X5" s="2" t="str">
        <f>TEXT(WEEKDAY(DATE(AnnéeCalendrier,12,22),1),"jjj")</f>
        <v>dim</v>
      </c>
      <c r="Y5" s="2" t="str">
        <f>TEXT(WEEKDAY(DATE(AnnéeCalendrier,12,23),1),"jjj")</f>
        <v>lun</v>
      </c>
      <c r="Z5" s="2" t="str">
        <f>TEXT(WEEKDAY(DATE(AnnéeCalendrier,12,24),1),"jjj")</f>
        <v>mar</v>
      </c>
      <c r="AA5" s="2" t="str">
        <f>TEXT(WEEKDAY(DATE(AnnéeCalendrier,12,25),1),"jjj")</f>
        <v>mer</v>
      </c>
      <c r="AB5" s="2" t="str">
        <f>TEXT(WEEKDAY(DATE(AnnéeCalendrier,12,26),1),"jjj")</f>
        <v>jeu</v>
      </c>
      <c r="AC5" s="2" t="str">
        <f>TEXT(WEEKDAY(DATE(AnnéeCalendrier,12,27),1),"jjj")</f>
        <v>ven</v>
      </c>
      <c r="AD5" s="2" t="str">
        <f>TEXT(WEEKDAY(DATE(AnnéeCalendrier,12,28),1),"jjj")</f>
        <v>sam</v>
      </c>
      <c r="AE5" s="2" t="str">
        <f>TEXT(WEEKDAY(DATE(AnnéeCalendrier,12,29),1),"jjj")</f>
        <v>dim</v>
      </c>
      <c r="AF5" s="2" t="str">
        <f>TEXT(WEEKDAY(DATE(AnnéeCalendrier,12,30),1),"jjj")</f>
        <v>lun</v>
      </c>
      <c r="AG5" s="2" t="str">
        <f>TEXT(WEEKDAY(DATE(AnnéeCalendrier,12,31),1),"jjj")</f>
        <v>mar</v>
      </c>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COUNTA(Décembre[[#This Row],[1]:[31]])</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COUNTA(Décembre[[#This Row],[1]:[31]])</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COUNTA(Décembre[[#This Row],[1]:[31]])</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COUNTA(Décembre[[#This Row],[1]:[31]])</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COUNTA(Décembre[[#This Row],[1]:[31]])</f>
        <v>0</v>
      </c>
    </row>
    <row r="12" spans="2:34" ht="30" customHeight="1" x14ac:dyDescent="0.35">
      <c r="B12" s="18" t="str">
        <f>NomMois&amp;" Total"</f>
        <v>Décembre Total</v>
      </c>
      <c r="C12" s="11">
        <f>SUBTOTAL(103,Décembre[1])</f>
        <v>0</v>
      </c>
      <c r="D12" s="11">
        <f>SUBTOTAL(103,Décembre[2])</f>
        <v>0</v>
      </c>
      <c r="E12" s="11">
        <f>SUBTOTAL(103,Décembre[3])</f>
        <v>0</v>
      </c>
      <c r="F12" s="11">
        <f>SUBTOTAL(103,Décembre[4])</f>
        <v>0</v>
      </c>
      <c r="G12" s="11">
        <f>SUBTOTAL(103,Décembre[5])</f>
        <v>0</v>
      </c>
      <c r="H12" s="11">
        <f>SUBTOTAL(103,Décembre[6])</f>
        <v>0</v>
      </c>
      <c r="I12" s="11">
        <f>SUBTOTAL(103,Décembre[7])</f>
        <v>0</v>
      </c>
      <c r="J12" s="11">
        <f>SUBTOTAL(103,Décembre[8])</f>
        <v>0</v>
      </c>
      <c r="K12" s="11">
        <f>SUBTOTAL(103,Décembre[9])</f>
        <v>0</v>
      </c>
      <c r="L12" s="11">
        <f>SUBTOTAL(103,Décembre[10])</f>
        <v>0</v>
      </c>
      <c r="M12" s="11">
        <f>SUBTOTAL(103,Décembre[11])</f>
        <v>0</v>
      </c>
      <c r="N12" s="11">
        <f>SUBTOTAL(103,Décembre[12])</f>
        <v>0</v>
      </c>
      <c r="O12" s="11">
        <f>SUBTOTAL(103,Décembre[13])</f>
        <v>0</v>
      </c>
      <c r="P12" s="11">
        <f>SUBTOTAL(103,Décembre[14])</f>
        <v>0</v>
      </c>
      <c r="Q12" s="11">
        <f>SUBTOTAL(103,Décembre[15])</f>
        <v>0</v>
      </c>
      <c r="R12" s="11">
        <f>SUBTOTAL(103,Décembre[16])</f>
        <v>0</v>
      </c>
      <c r="S12" s="11">
        <f>SUBTOTAL(103,Décembre[17])</f>
        <v>0</v>
      </c>
      <c r="T12" s="11">
        <f>SUBTOTAL(103,Décembre[18])</f>
        <v>0</v>
      </c>
      <c r="U12" s="11">
        <f>SUBTOTAL(103,Décembre[19])</f>
        <v>0</v>
      </c>
      <c r="V12" s="11">
        <f>SUBTOTAL(103,Décembre[20])</f>
        <v>0</v>
      </c>
      <c r="W12" s="11">
        <f>SUBTOTAL(103,Décembre[21])</f>
        <v>0</v>
      </c>
      <c r="X12" s="11">
        <f>SUBTOTAL(103,Décembre[22])</f>
        <v>0</v>
      </c>
      <c r="Y12" s="11">
        <f>SUBTOTAL(103,Décembre[23])</f>
        <v>0</v>
      </c>
      <c r="Z12" s="11">
        <f>SUBTOTAL(103,Décembre[24])</f>
        <v>0</v>
      </c>
      <c r="AA12" s="11">
        <f>SUBTOTAL(103,Décembre[25])</f>
        <v>0</v>
      </c>
      <c r="AB12" s="11">
        <f>SUBTOTAL(103,Décembre[26])</f>
        <v>0</v>
      </c>
      <c r="AC12" s="11">
        <f>SUBTOTAL(103,Décembre[27])</f>
        <v>0</v>
      </c>
      <c r="AD12" s="11">
        <f>SUBTOTAL(103,Décembre[28])</f>
        <v>0</v>
      </c>
      <c r="AE12" s="11">
        <f>SUBTOTAL(103,Décembre[29])</f>
        <v>0</v>
      </c>
      <c r="AF12" s="11">
        <f>SUBTOTAL(103,Décembre[30])</f>
        <v>0</v>
      </c>
      <c r="AG12" s="11">
        <f>SUBTOTAL(103,Décembre[31])</f>
        <v>0</v>
      </c>
      <c r="AH12" s="11">
        <f>SUBTOTAL(109,Décembre[Total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74" priority="2" stopIfTrue="1">
      <formula>C7=CléPersonnalisée2</formula>
    </cfRule>
    <cfRule type="expression" dxfId="73" priority="3" stopIfTrue="1">
      <formula>C7=CléPersonnalisée1</formula>
    </cfRule>
    <cfRule type="expression" dxfId="72" priority="4" stopIfTrue="1">
      <formula>C7=CléMaladie</formula>
    </cfRule>
    <cfRule type="expression" dxfId="71" priority="5" stopIfTrue="1">
      <formula>C7=CléPersonnel</formula>
    </cfRule>
    <cfRule type="expression" dxfId="70" priority="6" stopIfTrue="1">
      <formula>C7=CléCongé</formula>
    </cfRule>
  </conditionalFormatting>
  <conditionalFormatting sqref="AH7:AH11">
    <cfRule type="dataBar" priority="30">
      <dataBar>
        <cfvo type="min"/>
        <cfvo type="formula" val="DATEDIF(DATE(AnnéeCalendrier,2,1),DATE(AnnéeCalendrier,3,1),&quot;d&quot;)"/>
        <color theme="2" tint="-0.249977111117893"/>
      </dataBar>
      <extLst>
        <ext xmlns:x14="http://schemas.microsoft.com/office/spreadsheetml/2009/9/main" uri="{B025F937-C7B1-47D3-B67F-A62EFF666E3E}">
          <x14:id>{17586780-365B-4F4C-BBB4-F5991705D361}</x14:id>
        </ext>
      </extLst>
    </cfRule>
  </conditionalFormatting>
  <dataValidations count="14">
    <dataValidation allowBlank="1" showInputMessage="1" showErrorMessage="1" prompt="Année mise à jour automatiquement en fonction de l’année entrée dans la feuille de calcul Janvier" sqref="AH4" xr:uid="{00000000-0002-0000-0B00-000000000000}"/>
    <dataValidation allowBlank="1" showInputMessage="1" showErrorMessage="1" prompt="Calcule automatiquement le nombre total de jours d’absence d’un employé durant ce mois dans cette colonne" sqref="AH6" xr:uid="{00000000-0002-0000-0B00-000001000000}"/>
    <dataValidation allowBlank="1" showInputMessage="1" showErrorMessage="1" prompt="Suivez les absences du mois de décembre dans cette feuille de calcul" sqref="A1" xr:uid="{00000000-0002-0000-0B00-000002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B00-000003000000}"/>
    <dataValidation allowBlank="1" showInputMessage="1" showErrorMessage="1" prompt="Le titre mis à jour automatiquement figure dans cette cellule. Pour modifier le titre, mettez à jour la cellule B1 de la feuille de calcul Janvier" sqref="B1" xr:uid="{00000000-0002-0000-0B00-000004000000}"/>
    <dataValidation allowBlank="1" showInputMessage="1" showErrorMessage="1" prompt="La lettre « C » indique une absence pour cause de congé" sqref="C2" xr:uid="{00000000-0002-0000-0B00-000005000000}"/>
    <dataValidation allowBlank="1" showInputMessage="1" showErrorMessage="1" prompt="La lettre « P » indique une absence pour motifs personnels" sqref="F2" xr:uid="{00000000-0002-0000-0B00-000006000000}"/>
    <dataValidation allowBlank="1" showInputMessage="1" showErrorMessage="1" prompt="La lettre « M » indique une absence pour cause de maladie" sqref="J2" xr:uid="{00000000-0002-0000-0B00-000007000000}"/>
    <dataValidation allowBlank="1" showInputMessage="1" showErrorMessage="1" prompt="Entrez une lettre et personnalisez l’étiquette à droite pour ajouter un élément de clé" sqref="M2 R2" xr:uid="{00000000-0002-0000-0B00-000008000000}"/>
    <dataValidation allowBlank="1" showInputMessage="1" showErrorMessage="1" prompt="Entrez une étiquette pour décrire la clé personnalisée à gauche" sqref="N2 S2" xr:uid="{00000000-0002-0000-0B00-000009000000}"/>
    <dataValidation allowBlank="1" showInputMessage="1" showErrorMessage="1" prompt="Cette ligne définit les clés utilisées dans le tableau : Congé en C2, Personnel en F2 et Congé maladie en J2. Les cellules M2 et R2 sont personnalisables" sqref="B2" xr:uid="{00000000-0002-0000-0B00-00000A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B00-00000B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B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B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7586780-365B-4F4C-BBB4-F5991705D361}">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E000000}">
          <x14:formula1>
            <xm:f>'Noms des employés'!$B$4:$B$8</xm:f>
          </x14:formula1>
          <xm:sqref>B7:B11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B1:B8"/>
  <sheetViews>
    <sheetView showGridLines="0" workbookViewId="0"/>
  </sheetViews>
  <sheetFormatPr defaultColWidth="9.1796875" defaultRowHeight="30" customHeight="1" x14ac:dyDescent="0.35"/>
  <cols>
    <col min="1" max="1" width="2.7265625" customWidth="1"/>
    <col min="2" max="2" width="30.7265625" customWidth="1"/>
    <col min="3" max="3" width="2.7265625" customWidth="1"/>
  </cols>
  <sheetData>
    <row r="1" spans="2:2" ht="50.15" customHeight="1" x14ac:dyDescent="0.35">
      <c r="B1" s="19" t="s">
        <v>64</v>
      </c>
    </row>
    <row r="2" spans="2:2" ht="15" customHeight="1" x14ac:dyDescent="0.35"/>
    <row r="3" spans="2:2" ht="30" customHeight="1" x14ac:dyDescent="0.35">
      <c r="B3" t="s">
        <v>64</v>
      </c>
    </row>
    <row r="4" spans="2:2" ht="30" customHeight="1" x14ac:dyDescent="0.35">
      <c r="B4" s="1" t="s">
        <v>4</v>
      </c>
    </row>
    <row r="5" spans="2:2" ht="30" customHeight="1" x14ac:dyDescent="0.35">
      <c r="B5" s="1" t="s">
        <v>5</v>
      </c>
    </row>
    <row r="6" spans="2:2" ht="30" customHeight="1" x14ac:dyDescent="0.35">
      <c r="B6" s="1" t="s">
        <v>6</v>
      </c>
    </row>
    <row r="7" spans="2:2" ht="30" customHeight="1" x14ac:dyDescent="0.35">
      <c r="B7" s="1" t="s">
        <v>7</v>
      </c>
    </row>
    <row r="8" spans="2:2" ht="30" customHeight="1" x14ac:dyDescent="0.35">
      <c r="B8" s="1" t="s">
        <v>8</v>
      </c>
    </row>
  </sheetData>
  <dataValidations count="3">
    <dataValidation allowBlank="1" showInputMessage="1" showErrorMessage="1" prompt="Titre Noms des employés" sqref="B1" xr:uid="{00000000-0002-0000-0C00-000000000000}"/>
    <dataValidation allowBlank="1" showInputMessage="1" showErrorMessage="1" prompt="Entrez les noms des employés dans le tableau Noms des employés dans cette feuille de calcul. Ces noms sont utilisés en tant qu’options dans la colonne B du tableau des absences de chaque mois." sqref="A1" xr:uid="{00000000-0002-0000-0C00-000001000000}"/>
    <dataValidation allowBlank="1" showInputMessage="1" showErrorMessage="1" prompt="Entrez les noms des employés dans cette colonne" sqref="B3" xr:uid="{00000000-0002-0000-0C00-000002000000}"/>
  </dataValidations>
  <pageMargins left="0.7" right="0.7" top="0.75" bottom="0.75" header="0.3" footer="0.3"/>
  <pageSetup paperSize="9"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749992370372631"/>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row r="4" spans="2:34" ht="30" customHeight="1" x14ac:dyDescent="0.35">
      <c r="B4" s="10" t="s">
        <v>51</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TEXT(WEEKDAY(DATE(AnnéeCalendrier,2,1),1),"jjj")</f>
        <v>jeu</v>
      </c>
      <c r="D5" s="2" t="str">
        <f>TEXT(WEEKDAY(DATE(AnnéeCalendrier,2,2),1),"jjj")</f>
        <v>ven</v>
      </c>
      <c r="E5" s="2" t="str">
        <f>TEXT(WEEKDAY(DATE(AnnéeCalendrier,2,3),1),"jjj")</f>
        <v>sam</v>
      </c>
      <c r="F5" s="2" t="str">
        <f>TEXT(WEEKDAY(DATE(AnnéeCalendrier,2,4),1),"jjj")</f>
        <v>dim</v>
      </c>
      <c r="G5" s="2" t="str">
        <f>TEXT(WEEKDAY(DATE(AnnéeCalendrier,2,5),1),"jjj")</f>
        <v>lun</v>
      </c>
      <c r="H5" s="2" t="str">
        <f>TEXT(WEEKDAY(DATE(AnnéeCalendrier,2,6),1),"jjj")</f>
        <v>mar</v>
      </c>
      <c r="I5" s="2" t="str">
        <f>TEXT(WEEKDAY(DATE(AnnéeCalendrier,2,7),1),"jjj")</f>
        <v>mer</v>
      </c>
      <c r="J5" s="2" t="str">
        <f>TEXT(WEEKDAY(DATE(AnnéeCalendrier,2,8),1),"jjj")</f>
        <v>jeu</v>
      </c>
      <c r="K5" s="2" t="str">
        <f>TEXT(WEEKDAY(DATE(AnnéeCalendrier,2,9),1),"jjj")</f>
        <v>ven</v>
      </c>
      <c r="L5" s="2" t="str">
        <f>TEXT(WEEKDAY(DATE(AnnéeCalendrier,2,10),1),"jjj")</f>
        <v>sam</v>
      </c>
      <c r="M5" s="2" t="str">
        <f>TEXT(WEEKDAY(DATE(AnnéeCalendrier,2,11),1),"jjj")</f>
        <v>dim</v>
      </c>
      <c r="N5" s="2" t="str">
        <f>TEXT(WEEKDAY(DATE(AnnéeCalendrier,2,12),1),"jjj")</f>
        <v>lun</v>
      </c>
      <c r="O5" s="2" t="str">
        <f>TEXT(WEEKDAY(DATE(AnnéeCalendrier,2,13),1),"jjj")</f>
        <v>mar</v>
      </c>
      <c r="P5" s="2" t="str">
        <f>TEXT(WEEKDAY(DATE(AnnéeCalendrier,2,14),1),"jjj")</f>
        <v>mer</v>
      </c>
      <c r="Q5" s="2" t="str">
        <f>TEXT(WEEKDAY(DATE(AnnéeCalendrier,2,15),1),"jjj")</f>
        <v>jeu</v>
      </c>
      <c r="R5" s="2" t="str">
        <f>TEXT(WEEKDAY(DATE(AnnéeCalendrier,2,16),1),"jjj")</f>
        <v>ven</v>
      </c>
      <c r="S5" s="2" t="str">
        <f>TEXT(WEEKDAY(DATE(AnnéeCalendrier,2,17),1),"jjj")</f>
        <v>sam</v>
      </c>
      <c r="T5" s="2" t="str">
        <f>TEXT(WEEKDAY(DATE(AnnéeCalendrier,2,18),1),"jjj")</f>
        <v>dim</v>
      </c>
      <c r="U5" s="2" t="str">
        <f>TEXT(WEEKDAY(DATE(AnnéeCalendrier,2,19),1),"jjj")</f>
        <v>lun</v>
      </c>
      <c r="V5" s="2" t="str">
        <f>TEXT(WEEKDAY(DATE(AnnéeCalendrier,2,20),1),"jjj")</f>
        <v>mar</v>
      </c>
      <c r="W5" s="2" t="str">
        <f>TEXT(WEEKDAY(DATE(AnnéeCalendrier,2,21),1),"jjj")</f>
        <v>mer</v>
      </c>
      <c r="X5" s="2" t="str">
        <f>TEXT(WEEKDAY(DATE(AnnéeCalendrier,2,22),1),"jjj")</f>
        <v>jeu</v>
      </c>
      <c r="Y5" s="2" t="str">
        <f>TEXT(WEEKDAY(DATE(AnnéeCalendrier,2,23),1),"jjj")</f>
        <v>ven</v>
      </c>
      <c r="Z5" s="2" t="str">
        <f>TEXT(WEEKDAY(DATE(AnnéeCalendrier,2,24),1),"jjj")</f>
        <v>sam</v>
      </c>
      <c r="AA5" s="2" t="str">
        <f>TEXT(WEEKDAY(DATE(AnnéeCalendrier,2,25),1),"jjj")</f>
        <v>dim</v>
      </c>
      <c r="AB5" s="2" t="str">
        <f>TEXT(WEEKDAY(DATE(AnnéeCalendrier,2,26),1),"jjj")</f>
        <v>lun</v>
      </c>
      <c r="AC5" s="2" t="str">
        <f>TEXT(WEEKDAY(DATE(AnnéeCalendrier,2,27),1),"jjj")</f>
        <v>mar</v>
      </c>
      <c r="AD5" s="2" t="str">
        <f>TEXT(WEEKDAY(DATE(AnnéeCalendrier,2,28),1),"jjj")</f>
        <v>mer</v>
      </c>
      <c r="AE5" s="2" t="str">
        <f>TEXT(WEEKDAY(DATE(AnnéeCalendrier,2,29),1),"jjj")</f>
        <v>jeu</v>
      </c>
      <c r="AF5" s="2"/>
      <c r="AG5" s="2"/>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52</v>
      </c>
      <c r="AG6" s="2" t="s">
        <v>53</v>
      </c>
      <c r="AH6" s="14" t="s">
        <v>50</v>
      </c>
    </row>
    <row r="7" spans="2:34" ht="30" customHeight="1" x14ac:dyDescent="0.35">
      <c r="B7" s="8" t="s">
        <v>4</v>
      </c>
      <c r="C7" s="2"/>
      <c r="D7" s="2"/>
      <c r="E7" s="2" t="s">
        <v>9</v>
      </c>
      <c r="F7" s="2" t="s">
        <v>9</v>
      </c>
      <c r="G7" s="2" t="s">
        <v>9</v>
      </c>
      <c r="H7" s="2" t="s">
        <v>9</v>
      </c>
      <c r="I7" s="2"/>
      <c r="J7" s="2"/>
      <c r="K7" s="2"/>
      <c r="L7" s="2"/>
      <c r="M7" s="2"/>
      <c r="N7" s="2"/>
      <c r="O7" s="2" t="s">
        <v>9</v>
      </c>
      <c r="P7" s="2"/>
      <c r="Q7" s="2"/>
      <c r="R7" s="2"/>
      <c r="S7" s="2"/>
      <c r="T7" s="2"/>
      <c r="U7" s="2"/>
      <c r="V7" s="2"/>
      <c r="W7" s="2"/>
      <c r="X7" s="2"/>
      <c r="Y7" s="2"/>
      <c r="Z7" s="2"/>
      <c r="AA7" s="2"/>
      <c r="AB7" s="2"/>
      <c r="AC7" s="2"/>
      <c r="AD7" s="2"/>
      <c r="AE7" s="2"/>
      <c r="AF7" s="2"/>
      <c r="AG7" s="2"/>
      <c r="AH7" s="9">
        <f>COUNTA(Février[[#This Row],[1]:[29]])</f>
        <v>5</v>
      </c>
    </row>
    <row r="8" spans="2:34" ht="30" customHeight="1" x14ac:dyDescent="0.35">
      <c r="B8" s="8" t="s">
        <v>5</v>
      </c>
      <c r="C8" s="2"/>
      <c r="D8" s="2"/>
      <c r="E8" s="2"/>
      <c r="F8" s="2"/>
      <c r="G8" s="2" t="s">
        <v>17</v>
      </c>
      <c r="H8" s="2" t="s">
        <v>17</v>
      </c>
      <c r="I8" s="2"/>
      <c r="J8" s="2"/>
      <c r="K8" s="2"/>
      <c r="L8" s="2"/>
      <c r="M8" s="2" t="s">
        <v>15</v>
      </c>
      <c r="N8" s="2"/>
      <c r="O8" s="2"/>
      <c r="P8" s="2"/>
      <c r="Q8" s="2"/>
      <c r="R8" s="2"/>
      <c r="S8" s="2"/>
      <c r="T8" s="2"/>
      <c r="U8" s="2"/>
      <c r="V8" s="2" t="s">
        <v>17</v>
      </c>
      <c r="W8" s="2"/>
      <c r="X8" s="2"/>
      <c r="Y8" s="2"/>
      <c r="Z8" s="2"/>
      <c r="AA8" s="2" t="s">
        <v>9</v>
      </c>
      <c r="AB8" s="2" t="s">
        <v>9</v>
      </c>
      <c r="AC8" s="2" t="s">
        <v>9</v>
      </c>
      <c r="AD8" s="2"/>
      <c r="AE8" s="2"/>
      <c r="AF8" s="2"/>
      <c r="AG8" s="2"/>
      <c r="AH8" s="9">
        <f>COUNTA(Février[[#This Row],[1]:[29]])</f>
        <v>7</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COUNTA(Février[[#This Row],[1]:[29]])</f>
        <v>0</v>
      </c>
    </row>
    <row r="10" spans="2:34" ht="30" customHeight="1" x14ac:dyDescent="0.35">
      <c r="B10" s="8" t="s">
        <v>7</v>
      </c>
      <c r="C10" s="2"/>
      <c r="D10" s="2"/>
      <c r="E10" s="2" t="s">
        <v>17</v>
      </c>
      <c r="F10" s="2"/>
      <c r="G10" s="2"/>
      <c r="H10" s="2"/>
      <c r="I10" s="2"/>
      <c r="J10" s="2"/>
      <c r="K10" s="2"/>
      <c r="L10" s="2"/>
      <c r="M10" s="2"/>
      <c r="N10" s="2"/>
      <c r="O10" s="2"/>
      <c r="P10" s="2" t="s">
        <v>17</v>
      </c>
      <c r="Q10" s="2"/>
      <c r="R10" s="2"/>
      <c r="S10" s="2"/>
      <c r="T10" s="2" t="s">
        <v>15</v>
      </c>
      <c r="U10" s="2"/>
      <c r="V10" s="2"/>
      <c r="W10" s="2"/>
      <c r="X10" s="2"/>
      <c r="Y10" s="2"/>
      <c r="Z10" s="2"/>
      <c r="AA10" s="2"/>
      <c r="AB10" s="2"/>
      <c r="AC10" s="2"/>
      <c r="AD10" s="2" t="s">
        <v>17</v>
      </c>
      <c r="AE10" s="2"/>
      <c r="AF10" s="2"/>
      <c r="AG10" s="2"/>
      <c r="AH10" s="9">
        <f>COUNTA(Février[[#This Row],[1]:[29]])</f>
        <v>4</v>
      </c>
    </row>
    <row r="11" spans="2:34" ht="30" customHeight="1" x14ac:dyDescent="0.35">
      <c r="B11" s="8" t="s">
        <v>8</v>
      </c>
      <c r="C11" s="2"/>
      <c r="D11" s="2"/>
      <c r="E11" s="2"/>
      <c r="F11" s="2"/>
      <c r="G11" s="2"/>
      <c r="H11" s="2"/>
      <c r="I11" s="2"/>
      <c r="J11" s="2" t="s">
        <v>9</v>
      </c>
      <c r="K11" s="2" t="s">
        <v>9</v>
      </c>
      <c r="L11" s="2" t="s">
        <v>9</v>
      </c>
      <c r="M11" s="2" t="s">
        <v>9</v>
      </c>
      <c r="N11" s="2"/>
      <c r="O11" s="2"/>
      <c r="P11" s="2"/>
      <c r="Q11" s="2"/>
      <c r="R11" s="2"/>
      <c r="S11" s="2"/>
      <c r="T11" s="2"/>
      <c r="U11" s="2"/>
      <c r="V11" s="2"/>
      <c r="W11" s="2"/>
      <c r="X11" s="2"/>
      <c r="Y11" s="2"/>
      <c r="Z11" s="2" t="s">
        <v>17</v>
      </c>
      <c r="AA11" s="2"/>
      <c r="AB11" s="2"/>
      <c r="AC11" s="2"/>
      <c r="AD11" s="2"/>
      <c r="AE11" s="2"/>
      <c r="AF11" s="2"/>
      <c r="AG11" s="2"/>
      <c r="AH11" s="9">
        <f>COUNTA(Février[[#This Row],[1]:[29]])</f>
        <v>5</v>
      </c>
    </row>
    <row r="12" spans="2:34" ht="30" customHeight="1" x14ac:dyDescent="0.35">
      <c r="B12" s="18" t="str">
        <f>NomMois&amp;" Total"</f>
        <v>Février Total</v>
      </c>
      <c r="C12" s="11">
        <f>SUBTOTAL(103,Février[1])</f>
        <v>0</v>
      </c>
      <c r="D12" s="11">
        <f>SUBTOTAL(103,Février[2])</f>
        <v>0</v>
      </c>
      <c r="E12" s="11">
        <f>SUBTOTAL(103,Février[3])</f>
        <v>2</v>
      </c>
      <c r="F12" s="11">
        <f>SUBTOTAL(103,Février[4])</f>
        <v>1</v>
      </c>
      <c r="G12" s="11">
        <f>SUBTOTAL(103,Février[5])</f>
        <v>2</v>
      </c>
      <c r="H12" s="11">
        <f>SUBTOTAL(103,Février[6])</f>
        <v>2</v>
      </c>
      <c r="I12" s="11">
        <f>SUBTOTAL(103,Février[7])</f>
        <v>0</v>
      </c>
      <c r="J12" s="11">
        <f>SUBTOTAL(103,Février[8])</f>
        <v>1</v>
      </c>
      <c r="K12" s="11">
        <f>SUBTOTAL(103,Février[9])</f>
        <v>1</v>
      </c>
      <c r="L12" s="11">
        <f>SUBTOTAL(103,Février[10])</f>
        <v>1</v>
      </c>
      <c r="M12" s="11">
        <f>SUBTOTAL(103,Février[11])</f>
        <v>2</v>
      </c>
      <c r="N12" s="11">
        <f>SUBTOTAL(103,Février[12])</f>
        <v>0</v>
      </c>
      <c r="O12" s="11">
        <f>SUBTOTAL(103,Février[13])</f>
        <v>1</v>
      </c>
      <c r="P12" s="11">
        <f>SUBTOTAL(103,Février[14])</f>
        <v>1</v>
      </c>
      <c r="Q12" s="11">
        <f>SUBTOTAL(103,Février[15])</f>
        <v>0</v>
      </c>
      <c r="R12" s="11">
        <f>SUBTOTAL(103,Février[16])</f>
        <v>0</v>
      </c>
      <c r="S12" s="11">
        <f>SUBTOTAL(103,Février[17])</f>
        <v>0</v>
      </c>
      <c r="T12" s="11">
        <f>SUBTOTAL(103,Février[18])</f>
        <v>1</v>
      </c>
      <c r="U12" s="11">
        <f>SUBTOTAL(103,Février[19])</f>
        <v>0</v>
      </c>
      <c r="V12" s="11">
        <f>SUBTOTAL(103,Février[20])</f>
        <v>1</v>
      </c>
      <c r="W12" s="11">
        <f>SUBTOTAL(103,Février[21])</f>
        <v>0</v>
      </c>
      <c r="X12" s="11">
        <f>SUBTOTAL(103,Février[22])</f>
        <v>0</v>
      </c>
      <c r="Y12" s="11">
        <f>SUBTOTAL(103,Février[23])</f>
        <v>0</v>
      </c>
      <c r="Z12" s="11">
        <f>SUBTOTAL(103,Février[24])</f>
        <v>1</v>
      </c>
      <c r="AA12" s="11">
        <f>SUBTOTAL(103,Février[25])</f>
        <v>1</v>
      </c>
      <c r="AB12" s="11">
        <f>SUBTOTAL(103,Février[26])</f>
        <v>1</v>
      </c>
      <c r="AC12" s="11">
        <f>SUBTOTAL(103,Février[27])</f>
        <v>1</v>
      </c>
      <c r="AD12" s="11">
        <f>SUBTOTAL(103,Février[28])</f>
        <v>1</v>
      </c>
      <c r="AE12" s="11">
        <f>SUBTOTAL(103,Février[29])</f>
        <v>0</v>
      </c>
      <c r="AF12" s="11"/>
      <c r="AG12" s="11"/>
      <c r="AH12" s="11">
        <f>SUBTOTAL(109,Février[Total des jours])</f>
        <v>21</v>
      </c>
    </row>
  </sheetData>
  <mergeCells count="6">
    <mergeCell ref="C4:AG4"/>
    <mergeCell ref="D2:E2"/>
    <mergeCell ref="G2:I2"/>
    <mergeCell ref="K2:L2"/>
    <mergeCell ref="N2:Q2"/>
    <mergeCell ref="S2:V2"/>
  </mergeCells>
  <conditionalFormatting sqref="AE6">
    <cfRule type="expression" dxfId="816" priority="16">
      <formula>MONTH(DATE(AnnéeCalendrier,2,29))&lt;&gt;2</formula>
    </cfRule>
  </conditionalFormatting>
  <conditionalFormatting sqref="AE5">
    <cfRule type="expression" dxfId="815" priority="15">
      <formula>MONTH(DATE(AnnéeCalendrier,2,29))&lt;&gt;2</formula>
    </cfRule>
  </conditionalFormatting>
  <conditionalFormatting sqref="C7:AG11">
    <cfRule type="expression" priority="2" stopIfTrue="1">
      <formula>C7=""</formula>
    </cfRule>
    <cfRule type="expression" dxfId="814" priority="3" stopIfTrue="1">
      <formula>C7=CléPersonnalisée2</formula>
    </cfRule>
  </conditionalFormatting>
  <conditionalFormatting sqref="C7:AG11">
    <cfRule type="expression" dxfId="813" priority="5" stopIfTrue="1">
      <formula>C7=CléPersonnalisée1</formula>
    </cfRule>
    <cfRule type="expression" dxfId="812" priority="6" stopIfTrue="1">
      <formula>C7=CléMaladie</formula>
    </cfRule>
    <cfRule type="expression" dxfId="811" priority="7" stopIfTrue="1">
      <formula>C7=CléPersonnel</formula>
    </cfRule>
    <cfRule type="expression" dxfId="810" priority="8" stopIfTrue="1">
      <formula>C7=CléCongé</formula>
    </cfRule>
  </conditionalFormatting>
  <conditionalFormatting sqref="AH7:AH11">
    <cfRule type="dataBar" priority="153">
      <dataBar>
        <cfvo type="min"/>
        <cfvo type="formula" val="DATEDIF(DATE(AnnéeCalendrier,2,1),DATE(AnnéeCalendrier,3,1),&quot;d&quot;)"/>
        <color theme="2" tint="-0.249977111117893"/>
      </dataBar>
      <extLst>
        <ext xmlns:x14="http://schemas.microsoft.com/office/spreadsheetml/2009/9/main" uri="{B025F937-C7B1-47D3-B67F-A62EFF666E3E}">
          <x14:id>{94738C71-AB78-40C3-A818-D083AE35CC38}</x14:id>
        </ext>
      </extLst>
    </cfRule>
  </conditionalFormatting>
  <dataValidations xWindow="232" yWindow="365" count="14">
    <dataValidation allowBlank="1" showInputMessage="1" showErrorMessage="1" prompt="Année mise à jour automatiquement en fonction de l’année entrée dans la feuille de calcul Janvier" sqref="AH4" xr:uid="{00000000-0002-0000-0100-000000000000}"/>
    <dataValidation allowBlank="1" showInputMessage="1" showErrorMessage="1" prompt="Suivez les absences du mois de février dans cette feuille de calcul" sqref="A1" xr:uid="{00000000-0002-0000-0100-000001000000}"/>
    <dataValidation allowBlank="1" showInputMessage="1" showErrorMessage="1" prompt="Calcule automatiquement le nombre total de jours d’absence d’un employé durant ce mois dans cette colonne" sqref="AH6" xr:uid="{00000000-0002-0000-0100-000002000000}"/>
    <dataValidation allowBlank="1" showInputMessage="1" showErrorMessage="1" prompt="Le titre mis à jour automatiquement figure dans cette cellule. Pour modifier le titre, mettez à jour la cellule B1 de la feuille de calcul Janvier" sqref="B1" xr:uid="{00000000-0002-0000-0100-000003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100-000004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100-000005000000}"/>
    <dataValidation allowBlank="1" showInputMessage="1" showErrorMessage="1" prompt="Cette ligne définit les clés utilisées dans le tableau : Congé en C2, Personnel en F2 et Congé maladie en J2. Les cellules M2 et R2 sont personnalisables" sqref="B2" xr:uid="{00000000-0002-0000-0100-000006000000}"/>
    <dataValidation allowBlank="1" showInputMessage="1" showErrorMessage="1" prompt="Entrez une étiquette pour décrire la clé personnalisée à gauche" sqref="N2 S2" xr:uid="{00000000-0002-0000-0100-000007000000}"/>
    <dataValidation allowBlank="1" showInputMessage="1" showErrorMessage="1" prompt="Entrez une lettre et personnalisez l’étiquette à droite pour ajouter un élément de clé" sqref="M2 R2" xr:uid="{00000000-0002-0000-0100-000008000000}"/>
    <dataValidation allowBlank="1" showInputMessage="1" showErrorMessage="1" prompt="La lettre « M » indique une absence pour cause de maladie" sqref="J2" xr:uid="{00000000-0002-0000-0100-000009000000}"/>
    <dataValidation allowBlank="1" showInputMessage="1" showErrorMessage="1" prompt="La lettre « P » indique une absence pour motifs personnels" sqref="F2" xr:uid="{00000000-0002-0000-0100-00000A000000}"/>
    <dataValidation allowBlank="1" showInputMessage="1" showErrorMessage="1" prompt="La lettre « C » indique une absence pour cause de congé" sqref="C2" xr:uid="{00000000-0002-0000-0100-00000B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1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1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4738C71-AB78-40C3-A818-D083AE35CC38}">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xWindow="232" yWindow="365" count="1">
        <x14:dataValidation type="list" allowBlank="1" showInputMessage="1" showErrorMessage="1" xr:uid="{00000000-0002-0000-0100-00000E000000}">
          <x14:formula1>
            <xm:f>'Noms des employés'!$B$4:$B$8</xm:f>
          </x14:formula1>
          <xm:sqref>B7:B11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54</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TEXT(WEEKDAY(DATE(AnnéeCalendrier,3,1),1),"jjj")</f>
        <v>ven</v>
      </c>
      <c r="D5" s="2" t="str">
        <f>TEXT(WEEKDAY(DATE(AnnéeCalendrier,3,2),1),"jjj")</f>
        <v>sam</v>
      </c>
      <c r="E5" s="2" t="str">
        <f>TEXT(WEEKDAY(DATE(AnnéeCalendrier,3,3),1),"jjj")</f>
        <v>dim</v>
      </c>
      <c r="F5" s="2" t="str">
        <f>TEXT(WEEKDAY(DATE(AnnéeCalendrier,3,4),1),"jjj")</f>
        <v>lun</v>
      </c>
      <c r="G5" s="2" t="str">
        <f>TEXT(WEEKDAY(DATE(AnnéeCalendrier,3,5),1),"jjj")</f>
        <v>mar</v>
      </c>
      <c r="H5" s="2" t="str">
        <f>TEXT(WEEKDAY(DATE(AnnéeCalendrier,3,6),1),"jjj")</f>
        <v>mer</v>
      </c>
      <c r="I5" s="2" t="str">
        <f>TEXT(WEEKDAY(DATE(AnnéeCalendrier,3,7),1),"jjj")</f>
        <v>jeu</v>
      </c>
      <c r="J5" s="2" t="str">
        <f>TEXT(WEEKDAY(DATE(AnnéeCalendrier,3,8),1),"jjj")</f>
        <v>ven</v>
      </c>
      <c r="K5" s="2" t="str">
        <f>TEXT(WEEKDAY(DATE(AnnéeCalendrier,3,9),1),"jjj")</f>
        <v>sam</v>
      </c>
      <c r="L5" s="2" t="str">
        <f>TEXT(WEEKDAY(DATE(AnnéeCalendrier,3,10),1),"jjj")</f>
        <v>dim</v>
      </c>
      <c r="M5" s="2" t="str">
        <f>TEXT(WEEKDAY(DATE(AnnéeCalendrier,3,11),1),"jjj")</f>
        <v>lun</v>
      </c>
      <c r="N5" s="2" t="str">
        <f>TEXT(WEEKDAY(DATE(AnnéeCalendrier,3,12),1),"jjj")</f>
        <v>mar</v>
      </c>
      <c r="O5" s="2" t="str">
        <f>TEXT(WEEKDAY(DATE(AnnéeCalendrier,3,13),1),"jjj")</f>
        <v>mer</v>
      </c>
      <c r="P5" s="2" t="str">
        <f>TEXT(WEEKDAY(DATE(AnnéeCalendrier,3,14),1),"jjj")</f>
        <v>jeu</v>
      </c>
      <c r="Q5" s="2" t="str">
        <f>TEXT(WEEKDAY(DATE(AnnéeCalendrier,3,15),1),"jjj")</f>
        <v>ven</v>
      </c>
      <c r="R5" s="2" t="str">
        <f>TEXT(WEEKDAY(DATE(AnnéeCalendrier,3,16),1),"jjj")</f>
        <v>sam</v>
      </c>
      <c r="S5" s="2" t="str">
        <f>TEXT(WEEKDAY(DATE(AnnéeCalendrier,3,17),1),"jjj")</f>
        <v>dim</v>
      </c>
      <c r="T5" s="2" t="str">
        <f>TEXT(WEEKDAY(DATE(AnnéeCalendrier,3,18),1),"jjj")</f>
        <v>lun</v>
      </c>
      <c r="U5" s="2" t="str">
        <f>TEXT(WEEKDAY(DATE(AnnéeCalendrier,3,19),1),"jjj")</f>
        <v>mar</v>
      </c>
      <c r="V5" s="2" t="str">
        <f>TEXT(WEEKDAY(DATE(AnnéeCalendrier,3,20),1),"jjj")</f>
        <v>mer</v>
      </c>
      <c r="W5" s="2" t="str">
        <f>TEXT(WEEKDAY(DATE(AnnéeCalendrier,3,21),1),"jjj")</f>
        <v>jeu</v>
      </c>
      <c r="X5" s="2" t="str">
        <f>TEXT(WEEKDAY(DATE(AnnéeCalendrier,3,22),1),"jjj")</f>
        <v>ven</v>
      </c>
      <c r="Y5" s="2" t="str">
        <f>TEXT(WEEKDAY(DATE(AnnéeCalendrier,3,23),1),"jjj")</f>
        <v>sam</v>
      </c>
      <c r="Z5" s="2" t="str">
        <f>TEXT(WEEKDAY(DATE(AnnéeCalendrier,3,24),1),"jjj")</f>
        <v>dim</v>
      </c>
      <c r="AA5" s="2" t="str">
        <f>TEXT(WEEKDAY(DATE(AnnéeCalendrier,3,25),1),"jjj")</f>
        <v>lun</v>
      </c>
      <c r="AB5" s="2" t="str">
        <f>TEXT(WEEKDAY(DATE(AnnéeCalendrier,3,26),1),"jjj")</f>
        <v>mar</v>
      </c>
      <c r="AC5" s="2" t="str">
        <f>TEXT(WEEKDAY(DATE(AnnéeCalendrier,3,27),1),"jjj")</f>
        <v>mer</v>
      </c>
      <c r="AD5" s="2" t="str">
        <f>TEXT(WEEKDAY(DATE(AnnéeCalendrier,3,28),1),"jjj")</f>
        <v>jeu</v>
      </c>
      <c r="AE5" s="2" t="str">
        <f>TEXT(WEEKDAY(DATE(AnnéeCalendrier,3,29),1),"jjj")</f>
        <v>ven</v>
      </c>
      <c r="AF5" s="2" t="str">
        <f>TEXT(WEEKDAY(DATE(AnnéeCalendrier,3,30),1),"jjj")</f>
        <v>sam</v>
      </c>
      <c r="AG5" s="2" t="str">
        <f>TEXT(WEEKDAY(DATE(AnnéeCalendrier,3,31),1),"jjj")</f>
        <v>dim</v>
      </c>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COUNTA(Mars[[#This Row],[1]:[31]])</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COUNTA(Mars[[#This Row],[1]:[31]])</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COUNTA(Mars[[#This Row],[1]:[31]])</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COUNTA(Mars[[#This Row],[1]:[31]])</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COUNTA(Mars[[#This Row],[1]:[31]])</f>
        <v>0</v>
      </c>
    </row>
    <row r="12" spans="2:34" ht="30" customHeight="1" x14ac:dyDescent="0.35">
      <c r="B12" s="18" t="str">
        <f>NomMois&amp;" Total"</f>
        <v>Mars Total</v>
      </c>
      <c r="C12" s="11">
        <f>SUBTOTAL(103,Mars[1])</f>
        <v>0</v>
      </c>
      <c r="D12" s="11">
        <f>SUBTOTAL(103,Mars[2])</f>
        <v>0</v>
      </c>
      <c r="E12" s="11">
        <f>SUBTOTAL(103,Mars[3])</f>
        <v>0</v>
      </c>
      <c r="F12" s="11">
        <f>SUBTOTAL(103,Mars[4])</f>
        <v>0</v>
      </c>
      <c r="G12" s="11">
        <f>SUBTOTAL(103,Mars[5])</f>
        <v>0</v>
      </c>
      <c r="H12" s="11">
        <f>SUBTOTAL(103,Mars[6])</f>
        <v>0</v>
      </c>
      <c r="I12" s="11">
        <f>SUBTOTAL(103,Mars[7])</f>
        <v>0</v>
      </c>
      <c r="J12" s="11">
        <f>SUBTOTAL(103,Mars[8])</f>
        <v>0</v>
      </c>
      <c r="K12" s="11">
        <f>SUBTOTAL(103,Mars[9])</f>
        <v>0</v>
      </c>
      <c r="L12" s="11">
        <f>SUBTOTAL(103,Mars[10])</f>
        <v>0</v>
      </c>
      <c r="M12" s="11">
        <f>SUBTOTAL(103,Mars[11])</f>
        <v>0</v>
      </c>
      <c r="N12" s="11">
        <f>SUBTOTAL(103,Mars[12])</f>
        <v>0</v>
      </c>
      <c r="O12" s="11">
        <f>SUBTOTAL(103,Mars[13])</f>
        <v>0</v>
      </c>
      <c r="P12" s="11">
        <f>SUBTOTAL(103,Mars[14])</f>
        <v>0</v>
      </c>
      <c r="Q12" s="11">
        <f>SUBTOTAL(103,Mars[15])</f>
        <v>0</v>
      </c>
      <c r="R12" s="11">
        <f>SUBTOTAL(103,Mars[16])</f>
        <v>0</v>
      </c>
      <c r="S12" s="11">
        <f>SUBTOTAL(103,Mars[17])</f>
        <v>0</v>
      </c>
      <c r="T12" s="11">
        <f>SUBTOTAL(103,Mars[18])</f>
        <v>0</v>
      </c>
      <c r="U12" s="11">
        <f>SUBTOTAL(103,Mars[19])</f>
        <v>0</v>
      </c>
      <c r="V12" s="11">
        <f>SUBTOTAL(103,Mars[20])</f>
        <v>0</v>
      </c>
      <c r="W12" s="11">
        <f>SUBTOTAL(103,Mars[21])</f>
        <v>0</v>
      </c>
      <c r="X12" s="11">
        <f>SUBTOTAL(103,Mars[22])</f>
        <v>0</v>
      </c>
      <c r="Y12" s="11">
        <f>SUBTOTAL(103,Mars[23])</f>
        <v>0</v>
      </c>
      <c r="Z12" s="11">
        <f>SUBTOTAL(103,Mars[24])</f>
        <v>0</v>
      </c>
      <c r="AA12" s="11">
        <f>SUBTOTAL(103,Mars[25])</f>
        <v>0</v>
      </c>
      <c r="AB12" s="11">
        <f>SUBTOTAL(103,Mars[26])</f>
        <v>0</v>
      </c>
      <c r="AC12" s="11">
        <f>SUBTOTAL(103,Mars[27])</f>
        <v>0</v>
      </c>
      <c r="AD12" s="11">
        <f>SUBTOTAL(103,Mars[28])</f>
        <v>0</v>
      </c>
      <c r="AE12" s="11">
        <f>SUBTOTAL(103,Mars[29])</f>
        <v>0</v>
      </c>
      <c r="AF12" s="11">
        <f>SUBTOTAL(103,Mars[30])</f>
        <v>0</v>
      </c>
      <c r="AG12" s="11">
        <f>SUBTOTAL(103,Mars[31])</f>
        <v>0</v>
      </c>
      <c r="AH12" s="11">
        <f>SUBTOTAL(109,Mars[Total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740" priority="2" stopIfTrue="1">
      <formula>C7=CléPersonnalisée2</formula>
    </cfRule>
    <cfRule type="expression" dxfId="739" priority="3" stopIfTrue="1">
      <formula>C7=CléPersonnalisée1</formula>
    </cfRule>
    <cfRule type="expression" dxfId="738" priority="4" stopIfTrue="1">
      <formula>C7=CléMaladie</formula>
    </cfRule>
    <cfRule type="expression" dxfId="737" priority="5" stopIfTrue="1">
      <formula>C7=CléPersonnel</formula>
    </cfRule>
    <cfRule type="expression" dxfId="736" priority="6" stopIfTrue="1">
      <formula>C7=CléCongé</formula>
    </cfRule>
  </conditionalFormatting>
  <conditionalFormatting sqref="AH7:AH11">
    <cfRule type="dataBar" priority="7">
      <dataBar>
        <cfvo type="min"/>
        <cfvo type="formula" val="DATEDIF(DATE(AnnéeCalendrier,2,1),DATE(AnnéeCalendrier,3,1),&quot;d&quot;)"/>
        <color theme="2" tint="-0.249977111117893"/>
      </dataBar>
      <extLst>
        <ext xmlns:x14="http://schemas.microsoft.com/office/spreadsheetml/2009/9/main" uri="{B025F937-C7B1-47D3-B67F-A62EFF666E3E}">
          <x14:id>{7C2B6C3E-666E-4369-8C57-FD32A7D03A3C}</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200-000000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200-000001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200-000002000000}"/>
    <dataValidation allowBlank="1" showInputMessage="1" showErrorMessage="1" prompt="Cette ligne définit les clés utilisées dans le tableau : Congé en C2, Personnel en F2 et Congé maladie en J2. Les cellules M2 et R2 sont personnalisables" sqref="B2" xr:uid="{00000000-0002-0000-0200-000003000000}"/>
    <dataValidation allowBlank="1" showInputMessage="1" showErrorMessage="1" prompt="Entrez une étiquette pour décrire la clé personnalisée à gauche" sqref="N2 S2" xr:uid="{00000000-0002-0000-0200-000004000000}"/>
    <dataValidation allowBlank="1" showInputMessage="1" showErrorMessage="1" prompt="Entrez une lettre et personnalisez l’étiquette à droite pour ajouter un élément de clé" sqref="M2 R2" xr:uid="{00000000-0002-0000-0200-000005000000}"/>
    <dataValidation allowBlank="1" showInputMessage="1" showErrorMessage="1" prompt="La lettre « M » indique une absence pour cause de maladie" sqref="J2" xr:uid="{00000000-0002-0000-0200-000006000000}"/>
    <dataValidation allowBlank="1" showInputMessage="1" showErrorMessage="1" prompt="La lettre « P » indique une absence pour motifs personnels" sqref="F2" xr:uid="{00000000-0002-0000-0200-000007000000}"/>
    <dataValidation allowBlank="1" showInputMessage="1" showErrorMessage="1" prompt="La lettre « C » indique une absence pour cause de congé" sqref="C2" xr:uid="{00000000-0002-0000-0200-000008000000}"/>
    <dataValidation allowBlank="1" showInputMessage="1" showErrorMessage="1" prompt="Le titre mis à jour automatiquement figure dans cette cellule. Pour modifier le titre, mettez à jour la cellule B1 de la feuille de calcul Janvier" sqref="B1" xr:uid="{00000000-0002-0000-0200-000009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200-00000A000000}"/>
    <dataValidation allowBlank="1" showInputMessage="1" showErrorMessage="1" prompt="Suivez les absences du mois de mars dans cette feuille de calcul" sqref="A1" xr:uid="{00000000-0002-0000-0200-00000B000000}"/>
    <dataValidation allowBlank="1" showInputMessage="1" showErrorMessage="1" prompt="Calcule automatiquement le nombre total de jours d’absence d’un employé durant ce mois dans cette colonne" sqref="AH6" xr:uid="{00000000-0002-0000-0200-00000C000000}"/>
    <dataValidation allowBlank="1" showInputMessage="1" showErrorMessage="1" prompt="Année mise à jour automatiquement en fonction de l’année entrée dans la feuille de calcul Janvier" sqref="AH4" xr:uid="{00000000-0002-0000-02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7C2B6C3E-666E-4369-8C57-FD32A7D03A3C}">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E000000}">
          <x14:formula1>
            <xm:f>'Noms des employés'!$B$4:$B$8</xm:f>
          </x14:formula1>
          <xm:sqref>B7:B11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55</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TEXT(WEEKDAY(DATE(AnnéeCalendrier,4,1),1),"jjj")</f>
        <v>lun</v>
      </c>
      <c r="D5" s="2" t="str">
        <f>TEXT(WEEKDAY(DATE(AnnéeCalendrier,4,2),1),"jjj")</f>
        <v>mar</v>
      </c>
      <c r="E5" s="2" t="str">
        <f>TEXT(WEEKDAY(DATE(AnnéeCalendrier,4,3),1),"jjj")</f>
        <v>mer</v>
      </c>
      <c r="F5" s="2" t="str">
        <f>TEXT(WEEKDAY(DATE(AnnéeCalendrier,4,4),1),"jjj")</f>
        <v>jeu</v>
      </c>
      <c r="G5" s="2" t="str">
        <f>TEXT(WEEKDAY(DATE(AnnéeCalendrier,4,5),1),"jjj")</f>
        <v>ven</v>
      </c>
      <c r="H5" s="2" t="str">
        <f>TEXT(WEEKDAY(DATE(AnnéeCalendrier,4,6),1),"jjj")</f>
        <v>sam</v>
      </c>
      <c r="I5" s="2" t="str">
        <f>TEXT(WEEKDAY(DATE(AnnéeCalendrier,4,7),1),"jjj")</f>
        <v>dim</v>
      </c>
      <c r="J5" s="2" t="str">
        <f>TEXT(WEEKDAY(DATE(AnnéeCalendrier,4,8),1),"jjj")</f>
        <v>lun</v>
      </c>
      <c r="K5" s="2" t="str">
        <f>TEXT(WEEKDAY(DATE(AnnéeCalendrier,4,9),1),"jjj")</f>
        <v>mar</v>
      </c>
      <c r="L5" s="2" t="str">
        <f>TEXT(WEEKDAY(DATE(AnnéeCalendrier,4,10),1),"jjj")</f>
        <v>mer</v>
      </c>
      <c r="M5" s="2" t="str">
        <f>TEXT(WEEKDAY(DATE(AnnéeCalendrier,4,11),1),"jjj")</f>
        <v>jeu</v>
      </c>
      <c r="N5" s="2" t="str">
        <f>TEXT(WEEKDAY(DATE(AnnéeCalendrier,4,12),1),"jjj")</f>
        <v>ven</v>
      </c>
      <c r="O5" s="2" t="str">
        <f>TEXT(WEEKDAY(DATE(AnnéeCalendrier,4,13),1),"jjj")</f>
        <v>sam</v>
      </c>
      <c r="P5" s="2" t="str">
        <f>TEXT(WEEKDAY(DATE(AnnéeCalendrier,4,14),1),"jjj")</f>
        <v>dim</v>
      </c>
      <c r="Q5" s="2" t="str">
        <f>TEXT(WEEKDAY(DATE(AnnéeCalendrier,4,15),1),"jjj")</f>
        <v>lun</v>
      </c>
      <c r="R5" s="2" t="str">
        <f>TEXT(WEEKDAY(DATE(AnnéeCalendrier,4,16),1),"jjj")</f>
        <v>mar</v>
      </c>
      <c r="S5" s="2" t="str">
        <f>TEXT(WEEKDAY(DATE(AnnéeCalendrier,4,17),1),"jjj")</f>
        <v>mer</v>
      </c>
      <c r="T5" s="2" t="str">
        <f>TEXT(WEEKDAY(DATE(AnnéeCalendrier,4,18),1),"jjj")</f>
        <v>jeu</v>
      </c>
      <c r="U5" s="2" t="str">
        <f>TEXT(WEEKDAY(DATE(AnnéeCalendrier,4,19),1),"jjj")</f>
        <v>ven</v>
      </c>
      <c r="V5" s="2" t="str">
        <f>TEXT(WEEKDAY(DATE(AnnéeCalendrier,4,20),1),"jjj")</f>
        <v>sam</v>
      </c>
      <c r="W5" s="2" t="str">
        <f>TEXT(WEEKDAY(DATE(AnnéeCalendrier,4,21),1),"jjj")</f>
        <v>dim</v>
      </c>
      <c r="X5" s="2" t="str">
        <f>TEXT(WEEKDAY(DATE(AnnéeCalendrier,4,22),1),"jjj")</f>
        <v>lun</v>
      </c>
      <c r="Y5" s="2" t="str">
        <f>TEXT(WEEKDAY(DATE(AnnéeCalendrier,4,23),1),"jjj")</f>
        <v>mar</v>
      </c>
      <c r="Z5" s="2" t="str">
        <f>TEXT(WEEKDAY(DATE(AnnéeCalendrier,4,24),1),"jjj")</f>
        <v>mer</v>
      </c>
      <c r="AA5" s="2" t="str">
        <f>TEXT(WEEKDAY(DATE(AnnéeCalendrier,4,25),1),"jjj")</f>
        <v>jeu</v>
      </c>
      <c r="AB5" s="2" t="str">
        <f>TEXT(WEEKDAY(DATE(AnnéeCalendrier,4,26),1),"jjj")</f>
        <v>ven</v>
      </c>
      <c r="AC5" s="2" t="str">
        <f>TEXT(WEEKDAY(DATE(AnnéeCalendrier,4,27),1),"jjj")</f>
        <v>sam</v>
      </c>
      <c r="AD5" s="2" t="str">
        <f>TEXT(WEEKDAY(DATE(AnnéeCalendrier,4,28),1),"jjj")</f>
        <v>dim</v>
      </c>
      <c r="AE5" s="2" t="str">
        <f>TEXT(WEEKDAY(DATE(AnnéeCalendrier,4,29),1),"jjj")</f>
        <v>lun</v>
      </c>
      <c r="AF5" s="2" t="str">
        <f>TEXT(WEEKDAY(DATE(AnnéeCalendrier,4,30),1),"jjj")</f>
        <v>mar</v>
      </c>
      <c r="AG5" s="2"/>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0" t="s">
        <v>52</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COUNTA(Avril[[#This Row],[1]:[30]])</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COUNTA(Avril[[#This Row],[1]:[30]])</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COUNTA(Avril[[#This Row],[1]:[30]])</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COUNTA(Avril[[#This Row],[1]:[30]])</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COUNTA(Avril[[#This Row],[1]:[30]])</f>
        <v>0</v>
      </c>
    </row>
    <row r="12" spans="2:34" ht="30" customHeight="1" x14ac:dyDescent="0.35">
      <c r="B12" s="18" t="str">
        <f>NomMois&amp;" Total"</f>
        <v>Avril Total</v>
      </c>
      <c r="C12" s="11">
        <f>SUBTOTAL(103,Avril[1])</f>
        <v>0</v>
      </c>
      <c r="D12" s="11">
        <f>SUBTOTAL(103,Avril[2])</f>
        <v>0</v>
      </c>
      <c r="E12" s="11">
        <f>SUBTOTAL(103,Avril[3])</f>
        <v>0</v>
      </c>
      <c r="F12" s="11">
        <f>SUBTOTAL(103,Avril[4])</f>
        <v>0</v>
      </c>
      <c r="G12" s="11">
        <f>SUBTOTAL(103,Avril[5])</f>
        <v>0</v>
      </c>
      <c r="H12" s="11">
        <f>SUBTOTAL(103,Avril[6])</f>
        <v>0</v>
      </c>
      <c r="I12" s="11">
        <f>SUBTOTAL(103,Avril[7])</f>
        <v>0</v>
      </c>
      <c r="J12" s="11">
        <f>SUBTOTAL(103,Avril[8])</f>
        <v>0</v>
      </c>
      <c r="K12" s="11">
        <f>SUBTOTAL(103,Avril[9])</f>
        <v>0</v>
      </c>
      <c r="L12" s="11">
        <f>SUBTOTAL(103,Avril[10])</f>
        <v>0</v>
      </c>
      <c r="M12" s="11">
        <f>SUBTOTAL(103,Avril[11])</f>
        <v>0</v>
      </c>
      <c r="N12" s="11">
        <f>SUBTOTAL(103,Avril[12])</f>
        <v>0</v>
      </c>
      <c r="O12" s="11">
        <f>SUBTOTAL(103,Avril[13])</f>
        <v>0</v>
      </c>
      <c r="P12" s="11">
        <f>SUBTOTAL(103,Avril[14])</f>
        <v>0</v>
      </c>
      <c r="Q12" s="11">
        <f>SUBTOTAL(103,Avril[15])</f>
        <v>0</v>
      </c>
      <c r="R12" s="11">
        <f>SUBTOTAL(103,Avril[16])</f>
        <v>0</v>
      </c>
      <c r="S12" s="11">
        <f>SUBTOTAL(103,Avril[17])</f>
        <v>0</v>
      </c>
      <c r="T12" s="11">
        <f>SUBTOTAL(103,Avril[18])</f>
        <v>0</v>
      </c>
      <c r="U12" s="11">
        <f>SUBTOTAL(103,Avril[19])</f>
        <v>0</v>
      </c>
      <c r="V12" s="11">
        <f>SUBTOTAL(103,Avril[20])</f>
        <v>0</v>
      </c>
      <c r="W12" s="11">
        <f>SUBTOTAL(103,Avril[21])</f>
        <v>0</v>
      </c>
      <c r="X12" s="11">
        <f>SUBTOTAL(103,Avril[22])</f>
        <v>0</v>
      </c>
      <c r="Y12" s="11">
        <f>SUBTOTAL(103,Avril[23])</f>
        <v>0</v>
      </c>
      <c r="Z12" s="11">
        <f>SUBTOTAL(103,Avril[24])</f>
        <v>0</v>
      </c>
      <c r="AA12" s="11">
        <f>SUBTOTAL(103,Avril[25])</f>
        <v>0</v>
      </c>
      <c r="AB12" s="11">
        <f>SUBTOTAL(103,Avril[26])</f>
        <v>0</v>
      </c>
      <c r="AC12" s="11">
        <f>SUBTOTAL(103,Avril[27])</f>
        <v>0</v>
      </c>
      <c r="AD12" s="11">
        <f>SUBTOTAL(103,Avril[28])</f>
        <v>0</v>
      </c>
      <c r="AE12" s="11">
        <f>SUBTOTAL(103,Avril[29])</f>
        <v>0</v>
      </c>
      <c r="AF12" s="11">
        <f>SUBTOTAL(103,Avril[30])</f>
        <v>0</v>
      </c>
      <c r="AG12" s="11">
        <f>SUBTOTAL(103,Avril[30])</f>
        <v>0</v>
      </c>
      <c r="AH12" s="11">
        <f>SUBTOTAL(109,Avril[Total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666" priority="2" stopIfTrue="1">
      <formula>C7=CléPersonnalisée2</formula>
    </cfRule>
    <cfRule type="expression" dxfId="665" priority="3" stopIfTrue="1">
      <formula>C7=CléPersonnalisée1</formula>
    </cfRule>
    <cfRule type="expression" dxfId="664" priority="4" stopIfTrue="1">
      <formula>C7=CléMaladie</formula>
    </cfRule>
    <cfRule type="expression" dxfId="663" priority="5" stopIfTrue="1">
      <formula>C7=CléPersonnel</formula>
    </cfRule>
    <cfRule type="expression" dxfId="662" priority="6" stopIfTrue="1">
      <formula>C7=CléCongé</formula>
    </cfRule>
  </conditionalFormatting>
  <conditionalFormatting sqref="AH7:AH11">
    <cfRule type="dataBar" priority="7">
      <dataBar>
        <cfvo type="min"/>
        <cfvo type="formula" val="DATEDIF(DATE(AnnéeCalendrier,2,1),DATE(AnnéeCalendrier,3,1),&quot;d&quot;)"/>
        <color theme="2" tint="-0.249977111117893"/>
      </dataBar>
      <extLst>
        <ext xmlns:x14="http://schemas.microsoft.com/office/spreadsheetml/2009/9/main" uri="{B025F937-C7B1-47D3-B67F-A62EFF666E3E}">
          <x14:id>{0C86709F-D813-4066-A3F1-C30F11214F4B}</x14:id>
        </ext>
      </extLst>
    </cfRule>
  </conditionalFormatting>
  <dataValidations count="14">
    <dataValidation allowBlank="1" showInputMessage="1" showErrorMessage="1" prompt="Année mise à jour automatiquement en fonction de l’année entrée dans la feuille de calcul Janvier" sqref="AH4" xr:uid="{00000000-0002-0000-0300-000000000000}"/>
    <dataValidation allowBlank="1" showInputMessage="1" showErrorMessage="1" prompt="Calcule automatiquement le nombre total de jours d’absence d’un employé durant ce mois dans cette colonne" sqref="AH6" xr:uid="{00000000-0002-0000-0300-000001000000}"/>
    <dataValidation allowBlank="1" showInputMessage="1" showErrorMessage="1" prompt="Suivez les absences du mois d’avril dans cette feuille de calcul" sqref="A1" xr:uid="{00000000-0002-0000-0300-000002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300-000003000000}"/>
    <dataValidation allowBlank="1" showInputMessage="1" showErrorMessage="1" prompt="Le titre mis à jour automatiquement figure dans cette cellule. Pour modifier le titre, mettez à jour la cellule B1 de la feuille de calcul Janvier" sqref="B1" xr:uid="{00000000-0002-0000-0300-000004000000}"/>
    <dataValidation allowBlank="1" showInputMessage="1" showErrorMessage="1" prompt="La lettre « C » indique une absence pour cause de congé" sqref="C2" xr:uid="{00000000-0002-0000-0300-000005000000}"/>
    <dataValidation allowBlank="1" showInputMessage="1" showErrorMessage="1" prompt="La lettre « P » indique une absence pour motifs personnels" sqref="F2" xr:uid="{00000000-0002-0000-0300-000006000000}"/>
    <dataValidation allowBlank="1" showInputMessage="1" showErrorMessage="1" prompt="La lettre « M » indique une absence pour cause de maladie" sqref="J2" xr:uid="{00000000-0002-0000-0300-000007000000}"/>
    <dataValidation allowBlank="1" showInputMessage="1" showErrorMessage="1" prompt="Entrez une lettre et personnalisez l’étiquette à droite pour ajouter un élément de clé" sqref="M2 R2" xr:uid="{00000000-0002-0000-0300-000008000000}"/>
    <dataValidation allowBlank="1" showInputMessage="1" showErrorMessage="1" prompt="Entrez une étiquette pour décrire la clé personnalisée à gauche" sqref="N2 S2" xr:uid="{00000000-0002-0000-0300-000009000000}"/>
    <dataValidation allowBlank="1" showInputMessage="1" showErrorMessage="1" prompt="Cette ligne définit les clés utilisées dans le tableau : Congé en C2, Personnel en F2 et Congé maladie en J2. Les cellules M2 et R2 sont personnalisables" sqref="B2" xr:uid="{00000000-0002-0000-0300-00000A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300-00000B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3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3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C86709F-D813-4066-A3F1-C30F11214F4B}">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E000000}">
          <x14:formula1>
            <xm:f>'Noms des employés'!$B$4:$B$8</xm:f>
          </x14:formula1>
          <xm:sqref>B7:B11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56</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TEXT(WEEKDAY(DATE(AnnéeCalendrier,5,1),1),"jjj")</f>
        <v>mer</v>
      </c>
      <c r="D5" s="2" t="str">
        <f>TEXT(WEEKDAY(DATE(AnnéeCalendrier,5,2),1),"jjj")</f>
        <v>jeu</v>
      </c>
      <c r="E5" s="2" t="str">
        <f>TEXT(WEEKDAY(DATE(AnnéeCalendrier,5,3),1),"jjj")</f>
        <v>ven</v>
      </c>
      <c r="F5" s="2" t="str">
        <f>TEXT(WEEKDAY(DATE(AnnéeCalendrier,5,4),1),"jjj")</f>
        <v>sam</v>
      </c>
      <c r="G5" s="2" t="str">
        <f>TEXT(WEEKDAY(DATE(AnnéeCalendrier,5,5),1),"jjj")</f>
        <v>dim</v>
      </c>
      <c r="H5" s="2" t="str">
        <f>TEXT(WEEKDAY(DATE(AnnéeCalendrier,5,6),1),"jjj")</f>
        <v>lun</v>
      </c>
      <c r="I5" s="2" t="str">
        <f>TEXT(WEEKDAY(DATE(AnnéeCalendrier,5,7),1),"jjj")</f>
        <v>mar</v>
      </c>
      <c r="J5" s="2" t="str">
        <f>TEXT(WEEKDAY(DATE(AnnéeCalendrier,5,8),1),"jjj")</f>
        <v>mer</v>
      </c>
      <c r="K5" s="2" t="str">
        <f>TEXT(WEEKDAY(DATE(AnnéeCalendrier,5,9),1),"jjj")</f>
        <v>jeu</v>
      </c>
      <c r="L5" s="2" t="str">
        <f>TEXT(WEEKDAY(DATE(AnnéeCalendrier,5,10),1),"jjj")</f>
        <v>ven</v>
      </c>
      <c r="M5" s="2" t="str">
        <f>TEXT(WEEKDAY(DATE(AnnéeCalendrier,5,11),1),"jjj")</f>
        <v>sam</v>
      </c>
      <c r="N5" s="2" t="str">
        <f>TEXT(WEEKDAY(DATE(AnnéeCalendrier,5,12),1),"jjj")</f>
        <v>dim</v>
      </c>
      <c r="O5" s="2" t="str">
        <f>TEXT(WEEKDAY(DATE(AnnéeCalendrier,5,13),1),"jjj")</f>
        <v>lun</v>
      </c>
      <c r="P5" s="2" t="str">
        <f>TEXT(WEEKDAY(DATE(AnnéeCalendrier,5,14),1),"jjj")</f>
        <v>mar</v>
      </c>
      <c r="Q5" s="2" t="str">
        <f>TEXT(WEEKDAY(DATE(AnnéeCalendrier,5,15),1),"jjj")</f>
        <v>mer</v>
      </c>
      <c r="R5" s="2" t="str">
        <f>TEXT(WEEKDAY(DATE(AnnéeCalendrier,5,16),1),"jjj")</f>
        <v>jeu</v>
      </c>
      <c r="S5" s="2" t="str">
        <f>TEXT(WEEKDAY(DATE(AnnéeCalendrier,5,17),1),"jjj")</f>
        <v>ven</v>
      </c>
      <c r="T5" s="2" t="str">
        <f>TEXT(WEEKDAY(DATE(AnnéeCalendrier,5,18),1),"jjj")</f>
        <v>sam</v>
      </c>
      <c r="U5" s="2" t="str">
        <f>TEXT(WEEKDAY(DATE(AnnéeCalendrier,5,19),1),"jjj")</f>
        <v>dim</v>
      </c>
      <c r="V5" s="2" t="str">
        <f>TEXT(WEEKDAY(DATE(AnnéeCalendrier,5,20),1),"jjj")</f>
        <v>lun</v>
      </c>
      <c r="W5" s="2" t="str">
        <f>TEXT(WEEKDAY(DATE(AnnéeCalendrier,5,21),1),"jjj")</f>
        <v>mar</v>
      </c>
      <c r="X5" s="2" t="str">
        <f>TEXT(WEEKDAY(DATE(AnnéeCalendrier,5,22),1),"jjj")</f>
        <v>mer</v>
      </c>
      <c r="Y5" s="2" t="str">
        <f>TEXT(WEEKDAY(DATE(AnnéeCalendrier,5,23),1),"jjj")</f>
        <v>jeu</v>
      </c>
      <c r="Z5" s="2" t="str">
        <f>TEXT(WEEKDAY(DATE(AnnéeCalendrier,5,24),1),"jjj")</f>
        <v>ven</v>
      </c>
      <c r="AA5" s="2" t="str">
        <f>TEXT(WEEKDAY(DATE(AnnéeCalendrier,5,25),1),"jjj")</f>
        <v>sam</v>
      </c>
      <c r="AB5" s="2" t="str">
        <f>TEXT(WEEKDAY(DATE(AnnéeCalendrier,5,26),1),"jjj")</f>
        <v>dim</v>
      </c>
      <c r="AC5" s="2" t="str">
        <f>TEXT(WEEKDAY(DATE(AnnéeCalendrier,5,27),1),"jjj")</f>
        <v>lun</v>
      </c>
      <c r="AD5" s="2" t="str">
        <f>TEXT(WEEKDAY(DATE(AnnéeCalendrier,5,28),1),"jjj")</f>
        <v>mar</v>
      </c>
      <c r="AE5" s="2" t="str">
        <f>TEXT(WEEKDAY(DATE(AnnéeCalendrier,5,29),1),"jjj")</f>
        <v>mer</v>
      </c>
      <c r="AF5" s="2" t="str">
        <f>TEXT(WEEKDAY(DATE(AnnéeCalendrier,5,30),1),"jjj")</f>
        <v>jeu</v>
      </c>
      <c r="AG5" s="2" t="str">
        <f>TEXT(WEEKDAY(DATE(AnnéeCalendrier,5,31),1),"jjj")</f>
        <v>ven</v>
      </c>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COUNTA(Mai[[#This Row],[1]:[31]])</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COUNTA(Mai[[#This Row],[1]:[31]])</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COUNTA(Mai[[#This Row],[1]:[31]])</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COUNTA(Mai[[#This Row],[1]:[31]])</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COUNTA(Mai[[#This Row],[1]:[31]])</f>
        <v>0</v>
      </c>
    </row>
    <row r="12" spans="2:34" ht="30" customHeight="1" x14ac:dyDescent="0.35">
      <c r="B12" s="18" t="str">
        <f>NomMois&amp;" Total"</f>
        <v>Mai Total</v>
      </c>
      <c r="C12" s="11">
        <f>SUBTOTAL(103,Mai[1])</f>
        <v>0</v>
      </c>
      <c r="D12" s="11">
        <f>SUBTOTAL(103,Mai[2])</f>
        <v>0</v>
      </c>
      <c r="E12" s="11">
        <f>SUBTOTAL(103,Mai[3])</f>
        <v>0</v>
      </c>
      <c r="F12" s="11">
        <f>SUBTOTAL(103,Mai[4])</f>
        <v>0</v>
      </c>
      <c r="G12" s="11">
        <f>SUBTOTAL(103,Mai[5])</f>
        <v>0</v>
      </c>
      <c r="H12" s="11">
        <f>SUBTOTAL(103,Mai[6])</f>
        <v>0</v>
      </c>
      <c r="I12" s="11">
        <f>SUBTOTAL(103,Mai[7])</f>
        <v>0</v>
      </c>
      <c r="J12" s="11">
        <f>SUBTOTAL(103,Mai[8])</f>
        <v>0</v>
      </c>
      <c r="K12" s="11">
        <f>SUBTOTAL(103,Mai[9])</f>
        <v>0</v>
      </c>
      <c r="L12" s="11">
        <f>SUBTOTAL(103,Mai[10])</f>
        <v>0</v>
      </c>
      <c r="M12" s="11">
        <f>SUBTOTAL(103,Mai[11])</f>
        <v>0</v>
      </c>
      <c r="N12" s="11">
        <f>SUBTOTAL(103,Mai[12])</f>
        <v>0</v>
      </c>
      <c r="O12" s="11">
        <f>SUBTOTAL(103,Mai[13])</f>
        <v>0</v>
      </c>
      <c r="P12" s="11">
        <f>SUBTOTAL(103,Mai[14])</f>
        <v>0</v>
      </c>
      <c r="Q12" s="11">
        <f>SUBTOTAL(103,Mai[15])</f>
        <v>0</v>
      </c>
      <c r="R12" s="11">
        <f>SUBTOTAL(103,Mai[16])</f>
        <v>0</v>
      </c>
      <c r="S12" s="11">
        <f>SUBTOTAL(103,Mai[17])</f>
        <v>0</v>
      </c>
      <c r="T12" s="11">
        <f>SUBTOTAL(103,Mai[18])</f>
        <v>0</v>
      </c>
      <c r="U12" s="11">
        <f>SUBTOTAL(103,Mai[19])</f>
        <v>0</v>
      </c>
      <c r="V12" s="11">
        <f>SUBTOTAL(103,Mai[20])</f>
        <v>0</v>
      </c>
      <c r="W12" s="11">
        <f>SUBTOTAL(103,Mai[21])</f>
        <v>0</v>
      </c>
      <c r="X12" s="11">
        <f>SUBTOTAL(103,Mai[22])</f>
        <v>0</v>
      </c>
      <c r="Y12" s="11">
        <f>SUBTOTAL(103,Mai[23])</f>
        <v>0</v>
      </c>
      <c r="Z12" s="11">
        <f>SUBTOTAL(103,Mai[24])</f>
        <v>0</v>
      </c>
      <c r="AA12" s="11">
        <f>SUBTOTAL(103,Mai[25])</f>
        <v>0</v>
      </c>
      <c r="AB12" s="11">
        <f>SUBTOTAL(103,Mai[26])</f>
        <v>0</v>
      </c>
      <c r="AC12" s="11">
        <f>SUBTOTAL(103,Mai[27])</f>
        <v>0</v>
      </c>
      <c r="AD12" s="11">
        <f>SUBTOTAL(103,Mai[28])</f>
        <v>0</v>
      </c>
      <c r="AE12" s="11">
        <f>SUBTOTAL(103,Mai[29])</f>
        <v>0</v>
      </c>
      <c r="AF12" s="11">
        <f>SUBTOTAL(103,Mai[30])</f>
        <v>0</v>
      </c>
      <c r="AG12" s="11">
        <f>SUBTOTAL(103,Mai[31])</f>
        <v>0</v>
      </c>
      <c r="AH12" s="11">
        <f>SUBTOTAL(109,Mai[Total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592" priority="2" stopIfTrue="1">
      <formula>C7=CléPersonnalisée2</formula>
    </cfRule>
    <cfRule type="expression" dxfId="591" priority="3" stopIfTrue="1">
      <formula>C7=CléPersonnalisée1</formula>
    </cfRule>
    <cfRule type="expression" dxfId="590" priority="4" stopIfTrue="1">
      <formula>C7=CléMaladie</formula>
    </cfRule>
    <cfRule type="expression" dxfId="589" priority="5" stopIfTrue="1">
      <formula>C7=CléPersonnel</formula>
    </cfRule>
    <cfRule type="expression" dxfId="588" priority="6" stopIfTrue="1">
      <formula>C7=CléCongé</formula>
    </cfRule>
  </conditionalFormatting>
  <conditionalFormatting sqref="AH7:AH11">
    <cfRule type="dataBar" priority="7">
      <dataBar>
        <cfvo type="min"/>
        <cfvo type="formula" val="DATEDIF(DATE(AnnéeCalendrier,2,1),DATE(AnnéeCalendrier,3,1),&quot;d&quot;)"/>
        <color theme="2" tint="-0.249977111117893"/>
      </dataBar>
      <extLst>
        <ext xmlns:x14="http://schemas.microsoft.com/office/spreadsheetml/2009/9/main" uri="{B025F937-C7B1-47D3-B67F-A62EFF666E3E}">
          <x14:id>{5670947F-8B3C-4A6C-A280-4F5E10811DCE}</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4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400-000001000000}"/>
    <dataValidation allowBlank="1" showInputMessage="1" showErrorMessage="1" prompt="Cette ligne définit les clés utilisées dans le tableau : Congé en C2, Personnel en F2 et Congé maladie en J2. Les cellules M2 et R2 sont personnalisables" sqref="B2" xr:uid="{00000000-0002-0000-0400-000002000000}"/>
    <dataValidation allowBlank="1" showInputMessage="1" showErrorMessage="1" prompt="Entrez une étiquette pour décrire la clé personnalisée à gauche" sqref="N2 S2" xr:uid="{00000000-0002-0000-0400-000003000000}"/>
    <dataValidation allowBlank="1" showInputMessage="1" showErrorMessage="1" prompt="Entrez une lettre et personnalisez l’étiquette à droite pour ajouter un élément de clé" sqref="M2 R2" xr:uid="{00000000-0002-0000-0400-000004000000}"/>
    <dataValidation allowBlank="1" showInputMessage="1" showErrorMessage="1" prompt="La lettre « M » indique une absence pour cause de maladie" sqref="J2" xr:uid="{00000000-0002-0000-0400-000005000000}"/>
    <dataValidation allowBlank="1" showInputMessage="1" showErrorMessage="1" prompt="La lettre « P » indique une absence pour motifs personnels" sqref="F2" xr:uid="{00000000-0002-0000-0400-000006000000}"/>
    <dataValidation allowBlank="1" showInputMessage="1" showErrorMessage="1" prompt="La lettre « C » indique une absence pour cause de congé" sqref="C2" xr:uid="{00000000-0002-0000-0400-000007000000}"/>
    <dataValidation allowBlank="1" showInputMessage="1" showErrorMessage="1" prompt="Le titre mis à jour automatiquement figure dans cette cellule. Pour modifier le titre, mettez à jour la cellule B1 de la feuille de calcul Janvier" sqref="B1" xr:uid="{00000000-0002-0000-04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400-000009000000}"/>
    <dataValidation allowBlank="1" showInputMessage="1" showErrorMessage="1" prompt="Suivez les absences du mois de mai dans cette feuille de calcul" sqref="A1" xr:uid="{00000000-0002-0000-0400-00000A000000}"/>
    <dataValidation allowBlank="1" showInputMessage="1" showErrorMessage="1" prompt="Calcule automatiquement le nombre total de jours d’absence d’un employé durant ce mois dans cette colonne" sqref="AH6" xr:uid="{00000000-0002-0000-0400-00000B000000}"/>
    <dataValidation allowBlank="1" showInputMessage="1" showErrorMessage="1" prompt="Année mise à jour automatiquement en fonction de l’année entrée dans la feuille de calcul Janvier" sqref="AH4" xr:uid="{00000000-0002-0000-04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4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670947F-8B3C-4A6C-A280-4F5E10811DCE}">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E000000}">
          <x14:formula1>
            <xm:f>'Noms des employés'!$B$4:$B$8</xm:f>
          </x14:formula1>
          <xm:sqref>B7:B11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57</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TEXT(WEEKDAY(DATE(AnnéeCalendrier,6,1),1),"jjj")</f>
        <v>sam</v>
      </c>
      <c r="D5" s="2" t="str">
        <f>TEXT(WEEKDAY(DATE(AnnéeCalendrier,6,2),1),"jjj")</f>
        <v>dim</v>
      </c>
      <c r="E5" s="2" t="str">
        <f>TEXT(WEEKDAY(DATE(AnnéeCalendrier,6,3),1),"jjj")</f>
        <v>lun</v>
      </c>
      <c r="F5" s="2" t="str">
        <f>TEXT(WEEKDAY(DATE(AnnéeCalendrier,6,4),1),"jjj")</f>
        <v>mar</v>
      </c>
      <c r="G5" s="2" t="str">
        <f>TEXT(WEEKDAY(DATE(AnnéeCalendrier,6,5),1),"jjj")</f>
        <v>mer</v>
      </c>
      <c r="H5" s="2" t="str">
        <f>TEXT(WEEKDAY(DATE(AnnéeCalendrier,6,6),1),"jjj")</f>
        <v>jeu</v>
      </c>
      <c r="I5" s="2" t="str">
        <f>TEXT(WEEKDAY(DATE(AnnéeCalendrier,6,7),1),"jjj")</f>
        <v>ven</v>
      </c>
      <c r="J5" s="2" t="str">
        <f>TEXT(WEEKDAY(DATE(AnnéeCalendrier,6,8),1),"jjj")</f>
        <v>sam</v>
      </c>
      <c r="K5" s="2" t="str">
        <f>TEXT(WEEKDAY(DATE(AnnéeCalendrier,6,9),1),"jjj")</f>
        <v>dim</v>
      </c>
      <c r="L5" s="2" t="str">
        <f>TEXT(WEEKDAY(DATE(AnnéeCalendrier,6,10),1),"jjj")</f>
        <v>lun</v>
      </c>
      <c r="M5" s="2" t="str">
        <f>TEXT(WEEKDAY(DATE(AnnéeCalendrier,6,11),1),"jjj")</f>
        <v>mar</v>
      </c>
      <c r="N5" s="2" t="str">
        <f>TEXT(WEEKDAY(DATE(AnnéeCalendrier,6,12),1),"jjj")</f>
        <v>mer</v>
      </c>
      <c r="O5" s="2" t="str">
        <f>TEXT(WEEKDAY(DATE(AnnéeCalendrier,6,13),1),"jjj")</f>
        <v>jeu</v>
      </c>
      <c r="P5" s="2" t="str">
        <f>TEXT(WEEKDAY(DATE(AnnéeCalendrier,6,14),1),"jjj")</f>
        <v>ven</v>
      </c>
      <c r="Q5" s="2" t="str">
        <f>TEXT(WEEKDAY(DATE(AnnéeCalendrier,6,15),1),"jjj")</f>
        <v>sam</v>
      </c>
      <c r="R5" s="2" t="str">
        <f>TEXT(WEEKDAY(DATE(AnnéeCalendrier,6,16),1),"jjj")</f>
        <v>dim</v>
      </c>
      <c r="S5" s="2" t="str">
        <f>TEXT(WEEKDAY(DATE(AnnéeCalendrier,6,17),1),"jjj")</f>
        <v>lun</v>
      </c>
      <c r="T5" s="2" t="str">
        <f>TEXT(WEEKDAY(DATE(AnnéeCalendrier,6,18),1),"jjj")</f>
        <v>mar</v>
      </c>
      <c r="U5" s="2" t="str">
        <f>TEXT(WEEKDAY(DATE(AnnéeCalendrier,6,19),1),"jjj")</f>
        <v>mer</v>
      </c>
      <c r="V5" s="2" t="str">
        <f>TEXT(WEEKDAY(DATE(AnnéeCalendrier,6,20),1),"jjj")</f>
        <v>jeu</v>
      </c>
      <c r="W5" s="2" t="str">
        <f>TEXT(WEEKDAY(DATE(AnnéeCalendrier,6,21),1),"jjj")</f>
        <v>ven</v>
      </c>
      <c r="X5" s="2" t="str">
        <f>TEXT(WEEKDAY(DATE(AnnéeCalendrier,6,22),1),"jjj")</f>
        <v>sam</v>
      </c>
      <c r="Y5" s="2" t="str">
        <f>TEXT(WEEKDAY(DATE(AnnéeCalendrier,6,23),1),"jjj")</f>
        <v>dim</v>
      </c>
      <c r="Z5" s="2" t="str">
        <f>TEXT(WEEKDAY(DATE(AnnéeCalendrier,6,24),1),"jjj")</f>
        <v>lun</v>
      </c>
      <c r="AA5" s="2" t="str">
        <f>TEXT(WEEKDAY(DATE(AnnéeCalendrier,6,25),1),"jjj")</f>
        <v>mar</v>
      </c>
      <c r="AB5" s="2" t="str">
        <f>TEXT(WEEKDAY(DATE(AnnéeCalendrier,6,26),1),"jjj")</f>
        <v>mer</v>
      </c>
      <c r="AC5" s="2" t="str">
        <f>TEXT(WEEKDAY(DATE(AnnéeCalendrier,6,27),1),"jjj")</f>
        <v>jeu</v>
      </c>
      <c r="AD5" s="2" t="str">
        <f>TEXT(WEEKDAY(DATE(AnnéeCalendrier,6,28),1),"jjj")</f>
        <v>ven</v>
      </c>
      <c r="AE5" s="2" t="str">
        <f>TEXT(WEEKDAY(DATE(AnnéeCalendrier,6,29),1),"jjj")</f>
        <v>sam</v>
      </c>
      <c r="AF5" s="2" t="str">
        <f>TEXT(WEEKDAY(DATE(AnnéeCalendrier,6,30),1),"jjj")</f>
        <v>dim</v>
      </c>
      <c r="AG5" s="2"/>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52</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COUNTA(Juin[[#This Row],[1]:[30]])</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COUNTA(Juin[[#This Row],[1]:[30]])</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COUNTA(Juin[[#This Row],[1]:[30]])</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COUNTA(Juin[[#This Row],[1]:[30]])</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COUNTA(Juin[[#This Row],[1]:[30]])</f>
        <v>0</v>
      </c>
    </row>
    <row r="12" spans="2:34" ht="30" customHeight="1" x14ac:dyDescent="0.35">
      <c r="B12" s="18" t="str">
        <f>NomMois&amp;" Total"</f>
        <v>Juin Total</v>
      </c>
      <c r="C12" s="11">
        <f>SUBTOTAL(103,Juin[1])</f>
        <v>0</v>
      </c>
      <c r="D12" s="11">
        <f>SUBTOTAL(103,Juin[2])</f>
        <v>0</v>
      </c>
      <c r="E12" s="11">
        <f>SUBTOTAL(103,Juin[3])</f>
        <v>0</v>
      </c>
      <c r="F12" s="11">
        <f>SUBTOTAL(103,Juin[4])</f>
        <v>0</v>
      </c>
      <c r="G12" s="11">
        <f>SUBTOTAL(103,Juin[5])</f>
        <v>0</v>
      </c>
      <c r="H12" s="11">
        <f>SUBTOTAL(103,Juin[6])</f>
        <v>0</v>
      </c>
      <c r="I12" s="11">
        <f>SUBTOTAL(103,Juin[7])</f>
        <v>0</v>
      </c>
      <c r="J12" s="11">
        <f>SUBTOTAL(103,Juin[8])</f>
        <v>0</v>
      </c>
      <c r="K12" s="11">
        <f>SUBTOTAL(103,Juin[9])</f>
        <v>0</v>
      </c>
      <c r="L12" s="11">
        <f>SUBTOTAL(103,Juin[10])</f>
        <v>0</v>
      </c>
      <c r="M12" s="11">
        <f>SUBTOTAL(103,Juin[11])</f>
        <v>0</v>
      </c>
      <c r="N12" s="11">
        <f>SUBTOTAL(103,Juin[12])</f>
        <v>0</v>
      </c>
      <c r="O12" s="11">
        <f>SUBTOTAL(103,Juin[13])</f>
        <v>0</v>
      </c>
      <c r="P12" s="11">
        <f>SUBTOTAL(103,Juin[14])</f>
        <v>0</v>
      </c>
      <c r="Q12" s="11">
        <f>SUBTOTAL(103,Juin[15])</f>
        <v>0</v>
      </c>
      <c r="R12" s="11">
        <f>SUBTOTAL(103,Juin[16])</f>
        <v>0</v>
      </c>
      <c r="S12" s="11">
        <f>SUBTOTAL(103,Juin[17])</f>
        <v>0</v>
      </c>
      <c r="T12" s="11">
        <f>SUBTOTAL(103,Juin[18])</f>
        <v>0</v>
      </c>
      <c r="U12" s="11">
        <f>SUBTOTAL(103,Juin[19])</f>
        <v>0</v>
      </c>
      <c r="V12" s="11">
        <f>SUBTOTAL(103,Juin[20])</f>
        <v>0</v>
      </c>
      <c r="W12" s="11">
        <f>SUBTOTAL(103,Juin[21])</f>
        <v>0</v>
      </c>
      <c r="X12" s="11">
        <f>SUBTOTAL(103,Juin[22])</f>
        <v>0</v>
      </c>
      <c r="Y12" s="11">
        <f>SUBTOTAL(103,Juin[23])</f>
        <v>0</v>
      </c>
      <c r="Z12" s="11">
        <f>SUBTOTAL(103,Juin[24])</f>
        <v>0</v>
      </c>
      <c r="AA12" s="11">
        <f>SUBTOTAL(103,Juin[25])</f>
        <v>0</v>
      </c>
      <c r="AB12" s="11">
        <f>SUBTOTAL(103,Juin[26])</f>
        <v>0</v>
      </c>
      <c r="AC12" s="11">
        <f>SUBTOTAL(103,Juin[27])</f>
        <v>0</v>
      </c>
      <c r="AD12" s="11">
        <f>SUBTOTAL(103,Juin[28])</f>
        <v>0</v>
      </c>
      <c r="AE12" s="11">
        <f>SUBTOTAL(103,Juin[29])</f>
        <v>0</v>
      </c>
      <c r="AF12" s="11">
        <f>SUBTOTAL(103,Juin[30])</f>
        <v>0</v>
      </c>
      <c r="AG12" s="11">
        <f>SUBTOTAL(103,Juin[[ ]])</f>
        <v>0</v>
      </c>
      <c r="AH12" s="11">
        <f>SUBTOTAL(109,Juin[Total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518" priority="2" stopIfTrue="1">
      <formula>C7=CléPersonnalisée2</formula>
    </cfRule>
    <cfRule type="expression" dxfId="517" priority="3" stopIfTrue="1">
      <formula>C7=CléPersonnalisée1</formula>
    </cfRule>
    <cfRule type="expression" dxfId="516" priority="4" stopIfTrue="1">
      <formula>C7=CléMaladie</formula>
    </cfRule>
    <cfRule type="expression" dxfId="515" priority="5" stopIfTrue="1">
      <formula>C7=CléPersonnel</formula>
    </cfRule>
    <cfRule type="expression" dxfId="514" priority="6" stopIfTrue="1">
      <formula>C7=CléCongé</formula>
    </cfRule>
  </conditionalFormatting>
  <conditionalFormatting sqref="AH7:AH11">
    <cfRule type="dataBar" priority="7">
      <dataBar>
        <cfvo type="min"/>
        <cfvo type="formula" val="DATEDIF(DATE(AnnéeCalendrier,2,1),DATE(AnnéeCalendrier,3,1),&quot;d&quot;)"/>
        <color theme="2" tint="-0.249977111117893"/>
      </dataBar>
      <extLst>
        <ext xmlns:x14="http://schemas.microsoft.com/office/spreadsheetml/2009/9/main" uri="{B025F937-C7B1-47D3-B67F-A62EFF666E3E}">
          <x14:id>{5E94D469-7B22-408B-924D-8DC8A136AD3B}</x14:id>
        </ext>
      </extLst>
    </cfRule>
  </conditionalFormatting>
  <dataValidations count="14">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500-000000000000}"/>
    <dataValidation allowBlank="1" showInputMessage="1" showErrorMessage="1" prompt="Année mise à jour automatiquement en fonction de l’année entrée dans la feuille de calcul Janvier" sqref="AH4" xr:uid="{00000000-0002-0000-0500-000001000000}"/>
    <dataValidation allowBlank="1" showInputMessage="1" showErrorMessage="1" prompt="Calcule automatiquement le nombre total de jours d’absence d’un employé durant ce mois dans cette colonne" sqref="AH6" xr:uid="{00000000-0002-0000-0500-000002000000}"/>
    <dataValidation allowBlank="1" showInputMessage="1" showErrorMessage="1" prompt="Suivez les absences du mois de juin dans cette feuille de calcul" sqref="A1" xr:uid="{00000000-0002-0000-0500-000003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500-000004000000}"/>
    <dataValidation allowBlank="1" showInputMessage="1" showErrorMessage="1" prompt="Le titre mis à jour automatiquement figure dans cette cellule. Pour modifier le titre, mettez à jour la cellule B1 de la feuille de calcul Janvier" sqref="B1" xr:uid="{00000000-0002-0000-0500-000005000000}"/>
    <dataValidation allowBlank="1" showInputMessage="1" showErrorMessage="1" prompt="La lettre « C » indique une absence pour cause de congé" sqref="C2" xr:uid="{00000000-0002-0000-0500-000006000000}"/>
    <dataValidation allowBlank="1" showInputMessage="1" showErrorMessage="1" prompt="La lettre « P » indique une absence pour motifs personnels" sqref="F2" xr:uid="{00000000-0002-0000-0500-000007000000}"/>
    <dataValidation allowBlank="1" showInputMessage="1" showErrorMessage="1" prompt="La lettre « M » indique une absence pour cause de maladie" sqref="J2" xr:uid="{00000000-0002-0000-0500-000008000000}"/>
    <dataValidation allowBlank="1" showInputMessage="1" showErrorMessage="1" prompt="Entrez une lettre et personnalisez l’étiquette à droite pour ajouter un élément de clé" sqref="M2 R2" xr:uid="{00000000-0002-0000-0500-000009000000}"/>
    <dataValidation allowBlank="1" showInputMessage="1" showErrorMessage="1" prompt="Entrez une étiquette pour décrire la clé personnalisée à gauche" sqref="N2 S2" xr:uid="{00000000-0002-0000-0500-00000A000000}"/>
    <dataValidation allowBlank="1" showInputMessage="1" showErrorMessage="1" prompt="Cette ligne définit les clés utilisées dans le tableau : Congé en C2, Personnel en F2 et Congé maladie en J2. Les cellules M2 et R2 sont personnalisables" sqref="B2" xr:uid="{00000000-0002-0000-0500-00000B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5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5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E94D469-7B22-408B-924D-8DC8A136AD3B}">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E000000}">
          <x14:formula1>
            <xm:f>'Noms des employés'!$B$4:$B$8</xm:f>
          </x14:formula1>
          <xm:sqref>B7:B11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58</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TEXT(WEEKDAY(DATE(AnnéeCalendrier,7,1),1),"jjj")</f>
        <v>lun</v>
      </c>
      <c r="D5" s="2" t="str">
        <f>TEXT(WEEKDAY(DATE(AnnéeCalendrier,7,2),1),"jjj")</f>
        <v>mar</v>
      </c>
      <c r="E5" s="2" t="str">
        <f>TEXT(WEEKDAY(DATE(AnnéeCalendrier,7,3),1),"jjj")</f>
        <v>mer</v>
      </c>
      <c r="F5" s="2" t="str">
        <f>TEXT(WEEKDAY(DATE(AnnéeCalendrier,7,4),1),"jjj")</f>
        <v>jeu</v>
      </c>
      <c r="G5" s="2" t="str">
        <f>TEXT(WEEKDAY(DATE(AnnéeCalendrier,7,5),1),"jjj")</f>
        <v>ven</v>
      </c>
      <c r="H5" s="2" t="str">
        <f>TEXT(WEEKDAY(DATE(AnnéeCalendrier,7,6),1),"jjj")</f>
        <v>sam</v>
      </c>
      <c r="I5" s="2" t="str">
        <f>TEXT(WEEKDAY(DATE(AnnéeCalendrier,7,7),1),"jjj")</f>
        <v>dim</v>
      </c>
      <c r="J5" s="2" t="str">
        <f>TEXT(WEEKDAY(DATE(AnnéeCalendrier,7,8),1),"jjj")</f>
        <v>lun</v>
      </c>
      <c r="K5" s="2" t="str">
        <f>TEXT(WEEKDAY(DATE(AnnéeCalendrier,7,9),1),"jjj")</f>
        <v>mar</v>
      </c>
      <c r="L5" s="2" t="str">
        <f>TEXT(WEEKDAY(DATE(AnnéeCalendrier,7,10),1),"jjj")</f>
        <v>mer</v>
      </c>
      <c r="M5" s="2" t="str">
        <f>TEXT(WEEKDAY(DATE(AnnéeCalendrier,7,11),1),"jjj")</f>
        <v>jeu</v>
      </c>
      <c r="N5" s="2" t="str">
        <f>TEXT(WEEKDAY(DATE(AnnéeCalendrier,7,12),1),"jjj")</f>
        <v>ven</v>
      </c>
      <c r="O5" s="2" t="str">
        <f>TEXT(WEEKDAY(DATE(AnnéeCalendrier,7,13),1),"jjj")</f>
        <v>sam</v>
      </c>
      <c r="P5" s="2" t="str">
        <f>TEXT(WEEKDAY(DATE(AnnéeCalendrier,7,14),1),"jjj")</f>
        <v>dim</v>
      </c>
      <c r="Q5" s="2" t="str">
        <f>TEXT(WEEKDAY(DATE(AnnéeCalendrier,7,15),1),"jjj")</f>
        <v>lun</v>
      </c>
      <c r="R5" s="2" t="str">
        <f>TEXT(WEEKDAY(DATE(AnnéeCalendrier,7,16),1),"jjj")</f>
        <v>mar</v>
      </c>
      <c r="S5" s="2" t="str">
        <f>TEXT(WEEKDAY(DATE(AnnéeCalendrier,7,17),1),"jjj")</f>
        <v>mer</v>
      </c>
      <c r="T5" s="2" t="str">
        <f>TEXT(WEEKDAY(DATE(AnnéeCalendrier,7,18),1),"jjj")</f>
        <v>jeu</v>
      </c>
      <c r="U5" s="2" t="str">
        <f>TEXT(WEEKDAY(DATE(AnnéeCalendrier,7,19),1),"jjj")</f>
        <v>ven</v>
      </c>
      <c r="V5" s="2" t="str">
        <f>TEXT(WEEKDAY(DATE(AnnéeCalendrier,7,20),1),"jjj")</f>
        <v>sam</v>
      </c>
      <c r="W5" s="2" t="str">
        <f>TEXT(WEEKDAY(DATE(AnnéeCalendrier,7,21),1),"jjj")</f>
        <v>dim</v>
      </c>
      <c r="X5" s="2" t="str">
        <f>TEXT(WEEKDAY(DATE(AnnéeCalendrier,7,22),1),"jjj")</f>
        <v>lun</v>
      </c>
      <c r="Y5" s="2" t="str">
        <f>TEXT(WEEKDAY(DATE(AnnéeCalendrier,7,23),1),"jjj")</f>
        <v>mar</v>
      </c>
      <c r="Z5" s="2" t="str">
        <f>TEXT(WEEKDAY(DATE(AnnéeCalendrier,7,24),1),"jjj")</f>
        <v>mer</v>
      </c>
      <c r="AA5" s="2" t="str">
        <f>TEXT(WEEKDAY(DATE(AnnéeCalendrier,7,25),1),"jjj")</f>
        <v>jeu</v>
      </c>
      <c r="AB5" s="2" t="str">
        <f>TEXT(WEEKDAY(DATE(AnnéeCalendrier,7,26),1),"jjj")</f>
        <v>ven</v>
      </c>
      <c r="AC5" s="2" t="str">
        <f>TEXT(WEEKDAY(DATE(AnnéeCalendrier,7,27),1),"jjj")</f>
        <v>sam</v>
      </c>
      <c r="AD5" s="2" t="str">
        <f>TEXT(WEEKDAY(DATE(AnnéeCalendrier,7,28),1),"jjj")</f>
        <v>dim</v>
      </c>
      <c r="AE5" s="2" t="str">
        <f>TEXT(WEEKDAY(DATE(AnnéeCalendrier,7,29),1),"jjj")</f>
        <v>lun</v>
      </c>
      <c r="AF5" s="2" t="str">
        <f>TEXT(WEEKDAY(DATE(AnnéeCalendrier,7,30),1),"jjj")</f>
        <v>mar</v>
      </c>
      <c r="AG5" s="2" t="str">
        <f>TEXT(WEEKDAY(DATE(AnnéeCalendrier,7,31),1),"jjj")</f>
        <v>mer</v>
      </c>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COUNTA(Juillet[[#This Row],[1]:[31]])</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COUNTA(Juillet[[#This Row],[1]:[31]])</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COUNTA(Juillet[[#This Row],[1]:[31]])</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COUNTA(Juillet[[#This Row],[1]:[31]])</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COUNTA(Juillet[[#This Row],[1]:[31]])</f>
        <v>0</v>
      </c>
    </row>
    <row r="12" spans="2:34" ht="30" customHeight="1" x14ac:dyDescent="0.35">
      <c r="B12" s="18" t="str">
        <f>NomMois&amp;" Total"</f>
        <v>Juillet Total</v>
      </c>
      <c r="C12" s="11">
        <f>SUBTOTAL(103,Juillet[1])</f>
        <v>0</v>
      </c>
      <c r="D12" s="11">
        <f>SUBTOTAL(103,Juillet[2])</f>
        <v>0</v>
      </c>
      <c r="E12" s="11">
        <f>SUBTOTAL(103,Juillet[3])</f>
        <v>0</v>
      </c>
      <c r="F12" s="11">
        <f>SUBTOTAL(103,Juillet[4])</f>
        <v>0</v>
      </c>
      <c r="G12" s="11">
        <f>SUBTOTAL(103,Juillet[5])</f>
        <v>0</v>
      </c>
      <c r="H12" s="11">
        <f>SUBTOTAL(103,Juillet[6])</f>
        <v>0</v>
      </c>
      <c r="I12" s="11">
        <f>SUBTOTAL(103,Juillet[7])</f>
        <v>0</v>
      </c>
      <c r="J12" s="11">
        <f>SUBTOTAL(103,Juillet[8])</f>
        <v>0</v>
      </c>
      <c r="K12" s="11">
        <f>SUBTOTAL(103,Juillet[9])</f>
        <v>0</v>
      </c>
      <c r="L12" s="11">
        <f>SUBTOTAL(103,Juillet[10])</f>
        <v>0</v>
      </c>
      <c r="M12" s="11">
        <f>SUBTOTAL(103,Juillet[11])</f>
        <v>0</v>
      </c>
      <c r="N12" s="11">
        <f>SUBTOTAL(103,Juillet[12])</f>
        <v>0</v>
      </c>
      <c r="O12" s="11">
        <f>SUBTOTAL(103,Juillet[13])</f>
        <v>0</v>
      </c>
      <c r="P12" s="11">
        <f>SUBTOTAL(103,Juillet[14])</f>
        <v>0</v>
      </c>
      <c r="Q12" s="11">
        <f>SUBTOTAL(103,Juillet[15])</f>
        <v>0</v>
      </c>
      <c r="R12" s="11">
        <f>SUBTOTAL(103,Juillet[16])</f>
        <v>0</v>
      </c>
      <c r="S12" s="11">
        <f>SUBTOTAL(103,Juillet[17])</f>
        <v>0</v>
      </c>
      <c r="T12" s="11">
        <f>SUBTOTAL(103,Juillet[18])</f>
        <v>0</v>
      </c>
      <c r="U12" s="11">
        <f>SUBTOTAL(103,Juillet[19])</f>
        <v>0</v>
      </c>
      <c r="V12" s="11">
        <f>SUBTOTAL(103,Juillet[20])</f>
        <v>0</v>
      </c>
      <c r="W12" s="11">
        <f>SUBTOTAL(103,Juillet[21])</f>
        <v>0</v>
      </c>
      <c r="X12" s="11">
        <f>SUBTOTAL(103,Juillet[22])</f>
        <v>0</v>
      </c>
      <c r="Y12" s="11">
        <f>SUBTOTAL(103,Juillet[23])</f>
        <v>0</v>
      </c>
      <c r="Z12" s="11">
        <f>SUBTOTAL(103,Juillet[24])</f>
        <v>0</v>
      </c>
      <c r="AA12" s="11">
        <f>SUBTOTAL(103,Juillet[25])</f>
        <v>0</v>
      </c>
      <c r="AB12" s="11">
        <f>SUBTOTAL(103,Juillet[26])</f>
        <v>0</v>
      </c>
      <c r="AC12" s="11">
        <f>SUBTOTAL(103,Juillet[27])</f>
        <v>0</v>
      </c>
      <c r="AD12" s="11">
        <f>SUBTOTAL(103,Juillet[28])</f>
        <v>0</v>
      </c>
      <c r="AE12" s="11">
        <f>SUBTOTAL(103,Juillet[29])</f>
        <v>0</v>
      </c>
      <c r="AF12" s="11">
        <f>SUBTOTAL(103,Juillet[30])</f>
        <v>0</v>
      </c>
      <c r="AG12" s="11">
        <f>SUBTOTAL(103,Juillet[31])</f>
        <v>0</v>
      </c>
      <c r="AH12" s="11">
        <f>SUBTOTAL(109,Juillet[Total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444" priority="2" stopIfTrue="1">
      <formula>C7=CléPersonnalisée2</formula>
    </cfRule>
    <cfRule type="expression" dxfId="443" priority="3" stopIfTrue="1">
      <formula>C7=CléPersonnalisée1</formula>
    </cfRule>
    <cfRule type="expression" dxfId="442" priority="4" stopIfTrue="1">
      <formula>C7=CléMaladie</formula>
    </cfRule>
    <cfRule type="expression" dxfId="441" priority="5" stopIfTrue="1">
      <formula>C7=CléPersonnel</formula>
    </cfRule>
    <cfRule type="expression" dxfId="440" priority="6" stopIfTrue="1">
      <formula>C7=CléCongé</formula>
    </cfRule>
  </conditionalFormatting>
  <conditionalFormatting sqref="AH7:AH11">
    <cfRule type="dataBar" priority="7">
      <dataBar>
        <cfvo type="min"/>
        <cfvo type="formula" val="DATEDIF(DATE(AnnéeCalendrier,2,1),DATE(AnnéeCalendrier,3,1),&quot;d&quot;)"/>
        <color theme="2" tint="-0.249977111117893"/>
      </dataBar>
      <extLst>
        <ext xmlns:x14="http://schemas.microsoft.com/office/spreadsheetml/2009/9/main" uri="{B025F937-C7B1-47D3-B67F-A62EFF666E3E}">
          <x14:id>{E0DCF129-9B2A-4CEB-9E56-27607F4BED20}</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6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600-000001000000}"/>
    <dataValidation allowBlank="1" showInputMessage="1" showErrorMessage="1" prompt="Cette ligne définit les clés utilisées dans le tableau : Congé en C2, Personnel en F2 et Congé maladie en J2. Les cellules M2 et R2 sont personnalisables" sqref="B2" xr:uid="{00000000-0002-0000-0600-000002000000}"/>
    <dataValidation allowBlank="1" showInputMessage="1" showErrorMessage="1" prompt="Entrez une étiquette pour décrire la clé personnalisée à gauche" sqref="N2 S2" xr:uid="{00000000-0002-0000-0600-000003000000}"/>
    <dataValidation allowBlank="1" showInputMessage="1" showErrorMessage="1" prompt="Entrez une lettre et personnalisez l’étiquette à droite pour ajouter un élément de clé" sqref="M2 R2" xr:uid="{00000000-0002-0000-0600-000004000000}"/>
    <dataValidation allowBlank="1" showInputMessage="1" showErrorMessage="1" prompt="La lettre « M » indique une absence pour cause de maladie" sqref="J2" xr:uid="{00000000-0002-0000-0600-000005000000}"/>
    <dataValidation allowBlank="1" showInputMessage="1" showErrorMessage="1" prompt="La lettre « P » indique une absence pour motifs personnels" sqref="F2" xr:uid="{00000000-0002-0000-0600-000006000000}"/>
    <dataValidation allowBlank="1" showInputMessage="1" showErrorMessage="1" prompt="La lettre « C » indique une absence pour cause de congé" sqref="C2" xr:uid="{00000000-0002-0000-0600-000007000000}"/>
    <dataValidation allowBlank="1" showInputMessage="1" showErrorMessage="1" prompt="Le titre mis à jour automatiquement figure dans cette cellule. Pour modifier le titre, mettez à jour la cellule B1 de la feuille de calcul Janvier" sqref="B1" xr:uid="{00000000-0002-0000-06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600-000009000000}"/>
    <dataValidation allowBlank="1" showInputMessage="1" showErrorMessage="1" prompt="Suivez les absences du mois de juillet dans cette feuille de calcul" sqref="A1" xr:uid="{00000000-0002-0000-0600-00000A000000}"/>
    <dataValidation allowBlank="1" showInputMessage="1" showErrorMessage="1" prompt="Calcule automatiquement le nombre total de jours d’absence d’un employé durant ce mois dans cette colonne" sqref="AH6" xr:uid="{00000000-0002-0000-0600-00000B000000}"/>
    <dataValidation allowBlank="1" showInputMessage="1" showErrorMessage="1" prompt="Année mise à jour automatiquement en fonction de l’année entrée dans la feuille de calcul Janvier" sqref="AH4" xr:uid="{00000000-0002-0000-06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6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0DCF129-9B2A-4CEB-9E56-27607F4BED20}">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E000000}">
          <x14:formula1>
            <xm:f>'Noms des employés'!$B$4:$B$8</xm:f>
          </x14:formula1>
          <xm:sqref>B7:B11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749992370372631"/>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59</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TEXT(WEEKDAY(DATE(AnnéeCalendrier,8,1),1),"jjj")</f>
        <v>jeu</v>
      </c>
      <c r="D5" s="2" t="str">
        <f>TEXT(WEEKDAY(DATE(AnnéeCalendrier,8,2),1),"jjj")</f>
        <v>ven</v>
      </c>
      <c r="E5" s="2" t="str">
        <f>TEXT(WEEKDAY(DATE(AnnéeCalendrier,8,3),1),"jjj")</f>
        <v>sam</v>
      </c>
      <c r="F5" s="2" t="str">
        <f>TEXT(WEEKDAY(DATE(AnnéeCalendrier,8,4),1),"jjj")</f>
        <v>dim</v>
      </c>
      <c r="G5" s="2" t="str">
        <f>TEXT(WEEKDAY(DATE(AnnéeCalendrier,8,5),1),"jjj")</f>
        <v>lun</v>
      </c>
      <c r="H5" s="2" t="str">
        <f>TEXT(WEEKDAY(DATE(AnnéeCalendrier,8,6),1),"jjj")</f>
        <v>mar</v>
      </c>
      <c r="I5" s="2" t="str">
        <f>TEXT(WEEKDAY(DATE(AnnéeCalendrier,8,7),1),"jjj")</f>
        <v>mer</v>
      </c>
      <c r="J5" s="2" t="str">
        <f>TEXT(WEEKDAY(DATE(AnnéeCalendrier,8,8),1),"jjj")</f>
        <v>jeu</v>
      </c>
      <c r="K5" s="2" t="str">
        <f>TEXT(WEEKDAY(DATE(AnnéeCalendrier,8,9),1),"jjj")</f>
        <v>ven</v>
      </c>
      <c r="L5" s="2" t="str">
        <f>TEXT(WEEKDAY(DATE(AnnéeCalendrier,8,10),1),"jjj")</f>
        <v>sam</v>
      </c>
      <c r="M5" s="2" t="str">
        <f>TEXT(WEEKDAY(DATE(AnnéeCalendrier,8,11),1),"jjj")</f>
        <v>dim</v>
      </c>
      <c r="N5" s="2" t="str">
        <f>TEXT(WEEKDAY(DATE(AnnéeCalendrier,8,12),1),"jjj")</f>
        <v>lun</v>
      </c>
      <c r="O5" s="2" t="str">
        <f>TEXT(WEEKDAY(DATE(AnnéeCalendrier,8,13),1),"jjj")</f>
        <v>mar</v>
      </c>
      <c r="P5" s="2" t="str">
        <f>TEXT(WEEKDAY(DATE(AnnéeCalendrier,8,14),1),"jjj")</f>
        <v>mer</v>
      </c>
      <c r="Q5" s="2" t="str">
        <f>TEXT(WEEKDAY(DATE(AnnéeCalendrier,8,15),1),"jjj")</f>
        <v>jeu</v>
      </c>
      <c r="R5" s="2" t="str">
        <f>TEXT(WEEKDAY(DATE(AnnéeCalendrier,8,16),1),"jjj")</f>
        <v>ven</v>
      </c>
      <c r="S5" s="2" t="str">
        <f>TEXT(WEEKDAY(DATE(AnnéeCalendrier,8,17),1),"jjj")</f>
        <v>sam</v>
      </c>
      <c r="T5" s="2" t="str">
        <f>TEXT(WEEKDAY(DATE(AnnéeCalendrier,8,18),1),"jjj")</f>
        <v>dim</v>
      </c>
      <c r="U5" s="2" t="str">
        <f>TEXT(WEEKDAY(DATE(AnnéeCalendrier,8,19),1),"jjj")</f>
        <v>lun</v>
      </c>
      <c r="V5" s="2" t="str">
        <f>TEXT(WEEKDAY(DATE(AnnéeCalendrier,8,20),1),"jjj")</f>
        <v>mar</v>
      </c>
      <c r="W5" s="2" t="str">
        <f>TEXT(WEEKDAY(DATE(AnnéeCalendrier,8,21),1),"jjj")</f>
        <v>mer</v>
      </c>
      <c r="X5" s="2" t="str">
        <f>TEXT(WEEKDAY(DATE(AnnéeCalendrier,8,22),1),"jjj")</f>
        <v>jeu</v>
      </c>
      <c r="Y5" s="2" t="str">
        <f>TEXT(WEEKDAY(DATE(AnnéeCalendrier,8,23),1),"jjj")</f>
        <v>ven</v>
      </c>
      <c r="Z5" s="2" t="str">
        <f>TEXT(WEEKDAY(DATE(AnnéeCalendrier,8,24),1),"jjj")</f>
        <v>sam</v>
      </c>
      <c r="AA5" s="2" t="str">
        <f>TEXT(WEEKDAY(DATE(AnnéeCalendrier,8,25),1),"jjj")</f>
        <v>dim</v>
      </c>
      <c r="AB5" s="2" t="str">
        <f>TEXT(WEEKDAY(DATE(AnnéeCalendrier,8,26),1),"jjj")</f>
        <v>lun</v>
      </c>
      <c r="AC5" s="2" t="str">
        <f>TEXT(WEEKDAY(DATE(AnnéeCalendrier,8,27),1),"jjj")</f>
        <v>mar</v>
      </c>
      <c r="AD5" s="2" t="str">
        <f>TEXT(WEEKDAY(DATE(AnnéeCalendrier,8,28),1),"jjj")</f>
        <v>mer</v>
      </c>
      <c r="AE5" s="2" t="str">
        <f>TEXT(WEEKDAY(DATE(AnnéeCalendrier,8,29),1),"jjj")</f>
        <v>jeu</v>
      </c>
      <c r="AF5" s="2" t="str">
        <f>TEXT(WEEKDAY(DATE(AnnéeCalendrier,8,30),1),"jjj")</f>
        <v>ven</v>
      </c>
      <c r="AG5" s="2" t="str">
        <f>TEXT(WEEKDAY(DATE(AnnéeCalendrier,8,31),1),"jjj")</f>
        <v>sam</v>
      </c>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48</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COUNTA(Août[[#This Row],[1]:[31]])</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COUNTA(Août[[#This Row],[1]:[31]])</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COUNTA(Août[[#This Row],[1]:[31]])</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COUNTA(Août[[#This Row],[1]:[31]])</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COUNTA(Août[[#This Row],[1]:[31]])</f>
        <v>0</v>
      </c>
    </row>
    <row r="12" spans="2:34" ht="30" customHeight="1" x14ac:dyDescent="0.35">
      <c r="B12" s="18" t="str">
        <f>NomMois&amp;" Total"</f>
        <v>Août Total</v>
      </c>
      <c r="C12" s="11">
        <f>SUBTOTAL(103,Août[1])</f>
        <v>0</v>
      </c>
      <c r="D12" s="11">
        <f>SUBTOTAL(103,Août[2])</f>
        <v>0</v>
      </c>
      <c r="E12" s="11">
        <f>SUBTOTAL(103,Août[3])</f>
        <v>0</v>
      </c>
      <c r="F12" s="11">
        <f>SUBTOTAL(103,Août[4])</f>
        <v>0</v>
      </c>
      <c r="G12" s="11">
        <f>SUBTOTAL(103,Août[5])</f>
        <v>0</v>
      </c>
      <c r="H12" s="11">
        <f>SUBTOTAL(103,Août[6])</f>
        <v>0</v>
      </c>
      <c r="I12" s="11">
        <f>SUBTOTAL(103,Août[7])</f>
        <v>0</v>
      </c>
      <c r="J12" s="11">
        <f>SUBTOTAL(103,Août[8])</f>
        <v>0</v>
      </c>
      <c r="K12" s="11">
        <f>SUBTOTAL(103,Août[9])</f>
        <v>0</v>
      </c>
      <c r="L12" s="11">
        <f>SUBTOTAL(103,Août[10])</f>
        <v>0</v>
      </c>
      <c r="M12" s="11">
        <f>SUBTOTAL(103,Août[11])</f>
        <v>0</v>
      </c>
      <c r="N12" s="11">
        <f>SUBTOTAL(103,Août[12])</f>
        <v>0</v>
      </c>
      <c r="O12" s="11">
        <f>SUBTOTAL(103,Août[13])</f>
        <v>0</v>
      </c>
      <c r="P12" s="11">
        <f>SUBTOTAL(103,Août[14])</f>
        <v>0</v>
      </c>
      <c r="Q12" s="11">
        <f>SUBTOTAL(103,Août[15])</f>
        <v>0</v>
      </c>
      <c r="R12" s="11">
        <f>SUBTOTAL(103,Août[16])</f>
        <v>0</v>
      </c>
      <c r="S12" s="11">
        <f>SUBTOTAL(103,Août[17])</f>
        <v>0</v>
      </c>
      <c r="T12" s="11">
        <f>SUBTOTAL(103,Août[18])</f>
        <v>0</v>
      </c>
      <c r="U12" s="11">
        <f>SUBTOTAL(103,Août[19])</f>
        <v>0</v>
      </c>
      <c r="V12" s="11">
        <f>SUBTOTAL(103,Août[20])</f>
        <v>0</v>
      </c>
      <c r="W12" s="11">
        <f>SUBTOTAL(103,Août[21])</f>
        <v>0</v>
      </c>
      <c r="X12" s="11">
        <f>SUBTOTAL(103,Août[22])</f>
        <v>0</v>
      </c>
      <c r="Y12" s="11">
        <f>SUBTOTAL(103,Août[23])</f>
        <v>0</v>
      </c>
      <c r="Z12" s="11">
        <f>SUBTOTAL(103,Août[24])</f>
        <v>0</v>
      </c>
      <c r="AA12" s="11">
        <f>SUBTOTAL(103,Août[25])</f>
        <v>0</v>
      </c>
      <c r="AB12" s="11">
        <f>SUBTOTAL(103,Août[26])</f>
        <v>0</v>
      </c>
      <c r="AC12" s="11">
        <f>SUBTOTAL(103,Août[27])</f>
        <v>0</v>
      </c>
      <c r="AD12" s="11">
        <f>SUBTOTAL(103,Août[28])</f>
        <v>0</v>
      </c>
      <c r="AE12" s="11">
        <f>SUBTOTAL(103,Août[29])</f>
        <v>0</v>
      </c>
      <c r="AF12" s="11">
        <f>SUBTOTAL(103,Août[30])</f>
        <v>0</v>
      </c>
      <c r="AG12" s="11">
        <f>SUBTOTAL(103,Août[31])</f>
        <v>0</v>
      </c>
      <c r="AH12" s="11">
        <f>SUBTOTAL(109,Août[Total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370" priority="2" stopIfTrue="1">
      <formula>C7=CléPersonnalisée2</formula>
    </cfRule>
    <cfRule type="expression" dxfId="369" priority="3" stopIfTrue="1">
      <formula>C7=CléPersonnalisée1</formula>
    </cfRule>
    <cfRule type="expression" dxfId="368" priority="4" stopIfTrue="1">
      <formula>C7=CléMaladie</formula>
    </cfRule>
    <cfRule type="expression" dxfId="367" priority="5" stopIfTrue="1">
      <formula>C7=CléPersonnel</formula>
    </cfRule>
    <cfRule type="expression" dxfId="366" priority="6" stopIfTrue="1">
      <formula>C7=CléCongé</formula>
    </cfRule>
  </conditionalFormatting>
  <conditionalFormatting sqref="AH7:AH11">
    <cfRule type="dataBar" priority="7">
      <dataBar>
        <cfvo type="min"/>
        <cfvo type="formula" val="DATEDIF(DATE(AnnéeCalendrier,2,1),DATE(AnnéeCalendrier,3,1),&quot;d&quot;)"/>
        <color theme="2" tint="-0.249977111117893"/>
      </dataBar>
      <extLst>
        <ext xmlns:x14="http://schemas.microsoft.com/office/spreadsheetml/2009/9/main" uri="{B025F937-C7B1-47D3-B67F-A62EFF666E3E}">
          <x14:id>{09900229-9536-43AB-AAE0-FC121BDECD61}</x14:id>
        </ext>
      </extLst>
    </cfRule>
  </conditionalFormatting>
  <dataValidations count="14">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700-000000000000}"/>
    <dataValidation allowBlank="1" showInputMessage="1" showErrorMessage="1" prompt="Année mise à jour automatiquement en fonction de l’année entrée dans la feuille de calcul Janvier" sqref="AH4" xr:uid="{00000000-0002-0000-0700-000001000000}"/>
    <dataValidation allowBlank="1" showInputMessage="1" showErrorMessage="1" prompt="Calcule automatiquement le nombre total de jours d’absence d’un employé durant ce mois dans cette colonne" sqref="AH6" xr:uid="{00000000-0002-0000-0700-000002000000}"/>
    <dataValidation allowBlank="1" showInputMessage="1" showErrorMessage="1" prompt="Suivez les absences du mois d’août dans cette feuille de calcul" sqref="A1" xr:uid="{00000000-0002-0000-0700-000003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700-000004000000}"/>
    <dataValidation allowBlank="1" showInputMessage="1" showErrorMessage="1" prompt="Le titre mis à jour automatiquement figure dans cette cellule. Pour modifier le titre, mettez à jour la cellule B1 de la feuille de calcul Janvier" sqref="B1" xr:uid="{00000000-0002-0000-0700-000005000000}"/>
    <dataValidation allowBlank="1" showInputMessage="1" showErrorMessage="1" prompt="La lettre « C » indique une absence pour cause de congé" sqref="C2" xr:uid="{00000000-0002-0000-0700-000006000000}"/>
    <dataValidation allowBlank="1" showInputMessage="1" showErrorMessage="1" prompt="La lettre « P » indique une absence pour motifs personnels" sqref="F2" xr:uid="{00000000-0002-0000-0700-000007000000}"/>
    <dataValidation allowBlank="1" showInputMessage="1" showErrorMessage="1" prompt="La lettre « M » indique une absence pour cause de maladie" sqref="J2" xr:uid="{00000000-0002-0000-0700-000008000000}"/>
    <dataValidation allowBlank="1" showInputMessage="1" showErrorMessage="1" prompt="Entrez une lettre et personnalisez l’étiquette à droite pour ajouter un élément de clé" sqref="M2 R2" xr:uid="{00000000-0002-0000-0700-000009000000}"/>
    <dataValidation allowBlank="1" showInputMessage="1" showErrorMessage="1" prompt="Entrez une étiquette pour décrire la clé personnalisée à gauche" sqref="N2 S2" xr:uid="{00000000-0002-0000-0700-00000A000000}"/>
    <dataValidation allowBlank="1" showInputMessage="1" showErrorMessage="1" prompt="Cette ligne définit les clés utilisées dans le tableau : Congé en C2, Personnel en F2 et Congé maladie en J2. Les cellules M2 et R2 sont personnalisables" sqref="B2" xr:uid="{00000000-0002-0000-0700-00000B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700-00000C000000}"/>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7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9900229-9536-43AB-AAE0-FC121BDECD61}">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E000000}">
          <x14:formula1>
            <xm:f>'Noms des employés'!$B$4:$B$8</xm:f>
          </x14:formula1>
          <xm:sqref>B7:B11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B1:AH12"/>
  <sheetViews>
    <sheetView showGridLines="0" zoomScaleNormal="100" workbookViewId="0"/>
  </sheetViews>
  <sheetFormatPr defaultColWidth="9.1796875" defaultRowHeight="30" customHeight="1" x14ac:dyDescent="0.35"/>
  <cols>
    <col min="1" max="1" width="2.7265625" customWidth="1"/>
    <col min="2" max="2" width="25.7265625" customWidth="1"/>
    <col min="3" max="33" width="4.7265625" customWidth="1"/>
    <col min="34" max="34" width="13.54296875" customWidth="1"/>
    <col min="35" max="35" width="2.7265625" customWidth="1"/>
  </cols>
  <sheetData>
    <row r="1" spans="2:34" ht="50.15" customHeight="1" x14ac:dyDescent="0.35">
      <c r="B1" s="12" t="str">
        <f>Titre_Absence_Employé</f>
        <v>Calendrier des absences des employés</v>
      </c>
    </row>
    <row r="2" spans="2:34" ht="15" customHeight="1" x14ac:dyDescent="0.35">
      <c r="B2" s="16" t="s">
        <v>1</v>
      </c>
      <c r="C2" s="3" t="s">
        <v>9</v>
      </c>
      <c r="D2" s="22" t="s">
        <v>12</v>
      </c>
      <c r="E2" s="22"/>
      <c r="F2" s="4" t="s">
        <v>15</v>
      </c>
      <c r="G2" s="22" t="s">
        <v>19</v>
      </c>
      <c r="H2" s="22"/>
      <c r="I2" s="22"/>
      <c r="J2" s="5" t="s">
        <v>17</v>
      </c>
      <c r="K2" s="22" t="s">
        <v>24</v>
      </c>
      <c r="L2" s="22"/>
      <c r="M2" s="6"/>
      <c r="N2" s="22" t="s">
        <v>28</v>
      </c>
      <c r="O2" s="22"/>
      <c r="P2" s="22"/>
      <c r="Q2" s="22"/>
      <c r="R2" s="7"/>
      <c r="S2" s="22" t="s">
        <v>33</v>
      </c>
      <c r="T2" s="22"/>
      <c r="U2" s="22"/>
      <c r="V2" s="22"/>
    </row>
    <row r="3" spans="2:34" ht="15" customHeight="1" x14ac:dyDescent="0.35">
      <c r="B3" s="12"/>
    </row>
    <row r="4" spans="2:34" ht="30" customHeight="1" x14ac:dyDescent="0.35">
      <c r="B4" s="10" t="s">
        <v>60</v>
      </c>
      <c r="C4" s="21" t="s">
        <v>10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0">
        <f>AnnéeCalendrier</f>
        <v>2024</v>
      </c>
    </row>
    <row r="5" spans="2:34" ht="15" customHeight="1" x14ac:dyDescent="0.35">
      <c r="B5" s="10"/>
      <c r="C5" s="2" t="str">
        <f>TEXT(WEEKDAY(DATE(AnnéeCalendrier,9,1),1),"jjj")</f>
        <v>dim</v>
      </c>
      <c r="D5" s="2" t="str">
        <f>TEXT(WEEKDAY(DATE(AnnéeCalendrier,9,2),1),"jjj")</f>
        <v>lun</v>
      </c>
      <c r="E5" s="2" t="str">
        <f>TEXT(WEEKDAY(DATE(AnnéeCalendrier,9,3),1),"jjj")</f>
        <v>mar</v>
      </c>
      <c r="F5" s="2" t="str">
        <f>TEXT(WEEKDAY(DATE(AnnéeCalendrier,9,4),1),"jjj")</f>
        <v>mer</v>
      </c>
      <c r="G5" s="2" t="str">
        <f>TEXT(WEEKDAY(DATE(AnnéeCalendrier,9,5),1),"jjj")</f>
        <v>jeu</v>
      </c>
      <c r="H5" s="2" t="str">
        <f>TEXT(WEEKDAY(DATE(AnnéeCalendrier,9,6),1),"jjj")</f>
        <v>ven</v>
      </c>
      <c r="I5" s="2" t="str">
        <f>TEXT(WEEKDAY(DATE(AnnéeCalendrier,9,7),1),"jjj")</f>
        <v>sam</v>
      </c>
      <c r="J5" s="2" t="str">
        <f>TEXT(WEEKDAY(DATE(AnnéeCalendrier,9,8),1),"jjj")</f>
        <v>dim</v>
      </c>
      <c r="K5" s="2" t="str">
        <f>TEXT(WEEKDAY(DATE(AnnéeCalendrier,9,9),1),"jjj")</f>
        <v>lun</v>
      </c>
      <c r="L5" s="2" t="str">
        <f>TEXT(WEEKDAY(DATE(AnnéeCalendrier,9,10),1),"jjj")</f>
        <v>mar</v>
      </c>
      <c r="M5" s="2" t="str">
        <f>TEXT(WEEKDAY(DATE(AnnéeCalendrier,9,11),1),"jjj")</f>
        <v>mer</v>
      </c>
      <c r="N5" s="2" t="str">
        <f>TEXT(WEEKDAY(DATE(AnnéeCalendrier,9,12),1),"jjj")</f>
        <v>jeu</v>
      </c>
      <c r="O5" s="2" t="str">
        <f>TEXT(WEEKDAY(DATE(AnnéeCalendrier,9,13),1),"jjj")</f>
        <v>ven</v>
      </c>
      <c r="P5" s="2" t="str">
        <f>TEXT(WEEKDAY(DATE(AnnéeCalendrier,9,14),1),"jjj")</f>
        <v>sam</v>
      </c>
      <c r="Q5" s="2" t="str">
        <f>TEXT(WEEKDAY(DATE(AnnéeCalendrier,9,15),1),"jjj")</f>
        <v>dim</v>
      </c>
      <c r="R5" s="2" t="str">
        <f>TEXT(WEEKDAY(DATE(AnnéeCalendrier,9,16),1),"jjj")</f>
        <v>lun</v>
      </c>
      <c r="S5" s="2" t="str">
        <f>TEXT(WEEKDAY(DATE(AnnéeCalendrier,9,17),1),"jjj")</f>
        <v>mar</v>
      </c>
      <c r="T5" s="2" t="str">
        <f>TEXT(WEEKDAY(DATE(AnnéeCalendrier,9,18),1),"jjj")</f>
        <v>mer</v>
      </c>
      <c r="U5" s="2" t="str">
        <f>TEXT(WEEKDAY(DATE(AnnéeCalendrier,9,19),1),"jjj")</f>
        <v>jeu</v>
      </c>
      <c r="V5" s="2" t="str">
        <f>TEXT(WEEKDAY(DATE(AnnéeCalendrier,9,20),1),"jjj")</f>
        <v>ven</v>
      </c>
      <c r="W5" s="2" t="str">
        <f>TEXT(WEEKDAY(DATE(AnnéeCalendrier,9,21),1),"jjj")</f>
        <v>sam</v>
      </c>
      <c r="X5" s="2" t="str">
        <f>TEXT(WEEKDAY(DATE(AnnéeCalendrier,9,22),1),"jjj")</f>
        <v>dim</v>
      </c>
      <c r="Y5" s="2" t="str">
        <f>TEXT(WEEKDAY(DATE(AnnéeCalendrier,9,23),1),"jjj")</f>
        <v>lun</v>
      </c>
      <c r="Z5" s="2" t="str">
        <f>TEXT(WEEKDAY(DATE(AnnéeCalendrier,9,24),1),"jjj")</f>
        <v>mar</v>
      </c>
      <c r="AA5" s="2" t="str">
        <f>TEXT(WEEKDAY(DATE(AnnéeCalendrier,9,25),1),"jjj")</f>
        <v>mer</v>
      </c>
      <c r="AB5" s="2" t="str">
        <f>TEXT(WEEKDAY(DATE(AnnéeCalendrier,9,26),1),"jjj")</f>
        <v>jeu</v>
      </c>
      <c r="AC5" s="2" t="str">
        <f>TEXT(WEEKDAY(DATE(AnnéeCalendrier,9,27),1),"jjj")</f>
        <v>ven</v>
      </c>
      <c r="AD5" s="2" t="str">
        <f>TEXT(WEEKDAY(DATE(AnnéeCalendrier,9,28),1),"jjj")</f>
        <v>sam</v>
      </c>
      <c r="AE5" s="2" t="str">
        <f>TEXT(WEEKDAY(DATE(AnnéeCalendrier,9,29),1),"jjj")</f>
        <v>dim</v>
      </c>
      <c r="AF5" s="2" t="str">
        <f>TEXT(WEEKDAY(DATE(AnnéeCalendrier,9,30),1),"jjj")</f>
        <v>lun</v>
      </c>
      <c r="AG5" s="2"/>
      <c r="AH5" s="10"/>
    </row>
    <row r="6" spans="2:34" ht="15" customHeight="1" x14ac:dyDescent="0.35">
      <c r="B6" s="13" t="s">
        <v>3</v>
      </c>
      <c r="C6" s="2" t="s">
        <v>11</v>
      </c>
      <c r="D6" s="2" t="s">
        <v>13</v>
      </c>
      <c r="E6" s="2" t="s">
        <v>14</v>
      </c>
      <c r="F6" s="2" t="s">
        <v>16</v>
      </c>
      <c r="G6" s="2" t="s">
        <v>18</v>
      </c>
      <c r="H6" s="2" t="s">
        <v>20</v>
      </c>
      <c r="I6" s="2" t="s">
        <v>21</v>
      </c>
      <c r="J6" s="2" t="s">
        <v>22</v>
      </c>
      <c r="K6" s="2" t="s">
        <v>23</v>
      </c>
      <c r="L6" s="2" t="s">
        <v>25</v>
      </c>
      <c r="M6" s="2" t="s">
        <v>26</v>
      </c>
      <c r="N6" s="2" t="s">
        <v>27</v>
      </c>
      <c r="O6" s="2" t="s">
        <v>29</v>
      </c>
      <c r="P6" s="2" t="s">
        <v>30</v>
      </c>
      <c r="Q6" s="2" t="s">
        <v>31</v>
      </c>
      <c r="R6" s="2" t="s">
        <v>32</v>
      </c>
      <c r="S6" s="2" t="s">
        <v>34</v>
      </c>
      <c r="T6" s="2" t="s">
        <v>35</v>
      </c>
      <c r="U6" s="2" t="s">
        <v>36</v>
      </c>
      <c r="V6" s="2" t="s">
        <v>37</v>
      </c>
      <c r="W6" s="2" t="s">
        <v>38</v>
      </c>
      <c r="X6" s="2" t="s">
        <v>39</v>
      </c>
      <c r="Y6" s="2" t="s">
        <v>40</v>
      </c>
      <c r="Z6" s="2" t="s">
        <v>41</v>
      </c>
      <c r="AA6" s="2" t="s">
        <v>42</v>
      </c>
      <c r="AB6" s="2" t="s">
        <v>43</v>
      </c>
      <c r="AC6" s="2" t="s">
        <v>44</v>
      </c>
      <c r="AD6" s="2" t="s">
        <v>45</v>
      </c>
      <c r="AE6" s="2" t="s">
        <v>46</v>
      </c>
      <c r="AF6" s="2" t="s">
        <v>47</v>
      </c>
      <c r="AG6" s="2" t="s">
        <v>52</v>
      </c>
      <c r="AH6" s="14" t="s">
        <v>50</v>
      </c>
    </row>
    <row r="7" spans="2:34" ht="30" customHeight="1" x14ac:dyDescent="0.35">
      <c r="B7" s="8" t="s">
        <v>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9">
        <f>COUNTA(Septembre[[#This Row],[1]:[30]])</f>
        <v>0</v>
      </c>
    </row>
    <row r="8" spans="2:34" ht="30" customHeight="1" x14ac:dyDescent="0.35">
      <c r="B8" s="8" t="s">
        <v>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9">
        <f>COUNTA(Septembre[[#This Row],[1]:[30]])</f>
        <v>0</v>
      </c>
    </row>
    <row r="9" spans="2:34" ht="30" customHeight="1" x14ac:dyDescent="0.35">
      <c r="B9" s="8" t="s">
        <v>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9">
        <f>COUNTA(Septembre[[#This Row],[1]:[30]])</f>
        <v>0</v>
      </c>
    </row>
    <row r="10" spans="2:34" ht="30" customHeight="1" x14ac:dyDescent="0.35">
      <c r="B10" s="8"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f>COUNTA(Septembre[[#This Row],[1]:[30]])</f>
        <v>0</v>
      </c>
    </row>
    <row r="11" spans="2:34" ht="30" customHeight="1" x14ac:dyDescent="0.35">
      <c r="B11" s="8" t="s">
        <v>8</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9">
        <f>COUNTA(Septembre[[#This Row],[1]:[30]])</f>
        <v>0</v>
      </c>
    </row>
    <row r="12" spans="2:34" ht="30" customHeight="1" x14ac:dyDescent="0.35">
      <c r="B12" s="18" t="str">
        <f>NomMois&amp;" Total"</f>
        <v>Septembre Total</v>
      </c>
      <c r="C12" s="11">
        <f>SUBTOTAL(103,Septembre[1])</f>
        <v>0</v>
      </c>
      <c r="D12" s="11">
        <f>SUBTOTAL(103,Septembre[2])</f>
        <v>0</v>
      </c>
      <c r="E12" s="11">
        <f>SUBTOTAL(103,Septembre[3])</f>
        <v>0</v>
      </c>
      <c r="F12" s="11">
        <f>SUBTOTAL(103,Septembre[4])</f>
        <v>0</v>
      </c>
      <c r="G12" s="11">
        <f>SUBTOTAL(103,Septembre[5])</f>
        <v>0</v>
      </c>
      <c r="H12" s="11">
        <f>SUBTOTAL(103,Septembre[6])</f>
        <v>0</v>
      </c>
      <c r="I12" s="11">
        <f>SUBTOTAL(103,Septembre[7])</f>
        <v>0</v>
      </c>
      <c r="J12" s="11">
        <f>SUBTOTAL(103,Septembre[8])</f>
        <v>0</v>
      </c>
      <c r="K12" s="11">
        <f>SUBTOTAL(103,Septembre[9])</f>
        <v>0</v>
      </c>
      <c r="L12" s="11">
        <f>SUBTOTAL(103,Septembre[10])</f>
        <v>0</v>
      </c>
      <c r="M12" s="11">
        <f>SUBTOTAL(103,Septembre[11])</f>
        <v>0</v>
      </c>
      <c r="N12" s="11">
        <f>SUBTOTAL(103,Septembre[12])</f>
        <v>0</v>
      </c>
      <c r="O12" s="11">
        <f>SUBTOTAL(103,Septembre[13])</f>
        <v>0</v>
      </c>
      <c r="P12" s="11">
        <f>SUBTOTAL(103,Septembre[14])</f>
        <v>0</v>
      </c>
      <c r="Q12" s="11">
        <f>SUBTOTAL(103,Septembre[15])</f>
        <v>0</v>
      </c>
      <c r="R12" s="11">
        <f>SUBTOTAL(103,Septembre[16])</f>
        <v>0</v>
      </c>
      <c r="S12" s="11">
        <f>SUBTOTAL(103,Septembre[17])</f>
        <v>0</v>
      </c>
      <c r="T12" s="11">
        <f>SUBTOTAL(103,Septembre[18])</f>
        <v>0</v>
      </c>
      <c r="U12" s="11">
        <f>SUBTOTAL(103,Septembre[19])</f>
        <v>0</v>
      </c>
      <c r="V12" s="11">
        <f>SUBTOTAL(103,Septembre[20])</f>
        <v>0</v>
      </c>
      <c r="W12" s="11">
        <f>SUBTOTAL(103,Septembre[21])</f>
        <v>0</v>
      </c>
      <c r="X12" s="11">
        <f>SUBTOTAL(103,Septembre[22])</f>
        <v>0</v>
      </c>
      <c r="Y12" s="11">
        <f>SUBTOTAL(103,Septembre[23])</f>
        <v>0</v>
      </c>
      <c r="Z12" s="11">
        <f>SUBTOTAL(103,Septembre[24])</f>
        <v>0</v>
      </c>
      <c r="AA12" s="11">
        <f>SUBTOTAL(103,Septembre[25])</f>
        <v>0</v>
      </c>
      <c r="AB12" s="11">
        <f>SUBTOTAL(103,Septembre[26])</f>
        <v>0</v>
      </c>
      <c r="AC12" s="11">
        <f>SUBTOTAL(103,Septembre[27])</f>
        <v>0</v>
      </c>
      <c r="AD12" s="11">
        <f>SUBTOTAL(103,Septembre[28])</f>
        <v>0</v>
      </c>
      <c r="AE12" s="11">
        <f>SUBTOTAL(103,Septembre[29])</f>
        <v>0</v>
      </c>
      <c r="AF12" s="11">
        <f>SUBTOTAL(103,Septembre[30])</f>
        <v>0</v>
      </c>
      <c r="AG12" s="11">
        <f>SUBTOTAL(103,Septembre[[ ]])</f>
        <v>0</v>
      </c>
      <c r="AH12" s="11">
        <f>SUBTOTAL(109,Septembre[Total des jours])</f>
        <v>0</v>
      </c>
    </row>
  </sheetData>
  <mergeCells count="6">
    <mergeCell ref="C4:AG4"/>
    <mergeCell ref="D2:E2"/>
    <mergeCell ref="G2:I2"/>
    <mergeCell ref="K2:L2"/>
    <mergeCell ref="N2:Q2"/>
    <mergeCell ref="S2:V2"/>
  </mergeCells>
  <conditionalFormatting sqref="C7:AG11">
    <cfRule type="expression" priority="1" stopIfTrue="1">
      <formula>C7=""</formula>
    </cfRule>
  </conditionalFormatting>
  <conditionalFormatting sqref="C7:AG11">
    <cfRule type="expression" dxfId="296" priority="2" stopIfTrue="1">
      <formula>C7=CléPersonnalisée2</formula>
    </cfRule>
    <cfRule type="expression" dxfId="295" priority="3" stopIfTrue="1">
      <formula>C7=CléPersonnalisée1</formula>
    </cfRule>
    <cfRule type="expression" dxfId="294" priority="4" stopIfTrue="1">
      <formula>C7=CléMaladie</formula>
    </cfRule>
    <cfRule type="expression" dxfId="293" priority="5" stopIfTrue="1">
      <formula>C7=CléPersonnel</formula>
    </cfRule>
    <cfRule type="expression" dxfId="292" priority="6" stopIfTrue="1">
      <formula>C7=CléCongé</formula>
    </cfRule>
  </conditionalFormatting>
  <conditionalFormatting sqref="AH7:AH11">
    <cfRule type="dataBar" priority="7">
      <dataBar>
        <cfvo type="min"/>
        <cfvo type="formula" val="DATEDIF(DATE(AnnéeCalendrier,2,1),DATE(AnnéeCalendrier,3,1),&quot;d&quot;)"/>
        <color theme="2" tint="-0.249977111117893"/>
      </dataBar>
      <extLst>
        <ext xmlns:x14="http://schemas.microsoft.com/office/spreadsheetml/2009/9/main" uri="{B025F937-C7B1-47D3-B67F-A62EFF666E3E}">
          <x14:id>{1A021984-06A1-41D9-90D2-8C16E885020B}</x14:id>
        </ext>
      </extLst>
    </cfRule>
  </conditionalFormatting>
  <dataValidations count="14">
    <dataValidation allowBlank="1" showInputMessage="1" showErrorMessage="1" prompt="Les jours du mois dans cette ligne sont générés automatiquement. Entrez l’absence et le motif d’absence d’un employé dans chaque colonne pour chaque jour du mois. Un champ vide indique qu’il n’y a pas eu d’absence" sqref="C6" xr:uid="{00000000-0002-0000-0800-000000000000}"/>
    <dataValidation allowBlank="1" showInputMessage="1" showErrorMessage="1" prompt="Nom du mois pour ce calendrier des absences dans cette cellule. Le total des absences pour ce mois figure dans la dernière cellule du tableau. Sélectionnez les noms des employés dans la colonne B du tableau" sqref="B4" xr:uid="{00000000-0002-0000-0800-000001000000}"/>
    <dataValidation allowBlank="1" showInputMessage="1" showErrorMessage="1" prompt="Cette ligne définit les clés utilisées dans le tableau : Congé en C2, Personnel en F2 et Congé maladie en J2. Les cellules M2 et R2 sont personnalisables" sqref="B2" xr:uid="{00000000-0002-0000-0800-000002000000}"/>
    <dataValidation allowBlank="1" showInputMessage="1" showErrorMessage="1" prompt="Entrez une étiquette pour décrire la clé personnalisée à gauche" sqref="N2 S2" xr:uid="{00000000-0002-0000-0800-000003000000}"/>
    <dataValidation allowBlank="1" showInputMessage="1" showErrorMessage="1" prompt="Entrez une lettre et personnalisez l’étiquette à droite pour ajouter un élément de clé" sqref="M2 R2" xr:uid="{00000000-0002-0000-0800-000004000000}"/>
    <dataValidation allowBlank="1" showInputMessage="1" showErrorMessage="1" prompt="La lettre « M » indique une absence pour cause de maladie" sqref="J2" xr:uid="{00000000-0002-0000-0800-000005000000}"/>
    <dataValidation allowBlank="1" showInputMessage="1" showErrorMessage="1" prompt="La lettre « P » indique une absence pour motifs personnels" sqref="F2" xr:uid="{00000000-0002-0000-0800-000006000000}"/>
    <dataValidation allowBlank="1" showInputMessage="1" showErrorMessage="1" prompt="La lettre « C » indique une absence pour cause de congé" sqref="C2" xr:uid="{00000000-0002-0000-0800-000007000000}"/>
    <dataValidation allowBlank="1" showInputMessage="1" showErrorMessage="1" prompt="Le titre mis à jour automatiquement figure dans cette cellule. Pour modifier le titre, mettez à jour la cellule B1 de la feuille de calcul Janvier" sqref="B1" xr:uid="{00000000-0002-0000-0800-000008000000}"/>
    <dataValidation errorStyle="warning" allowBlank="1" showInputMessage="1" showErrorMessage="1" error="Sélectionnez un nom dans la liste. Sélectionnez ANNULER, appuyez sur ALT+FLÈCHE BAS, puis sur ENTRÉE pour sélectionner un nom" prompt="Entrez les noms des employés dans la feuille de calcul du Noms des employés, puis sélectionnez l’un des noms de la liste figurant dans cette colonne. Appuyez sur ALT+FLÈCHE BAS, puis sur ENTRÉE pour sélectionner un nom" sqref="B6" xr:uid="{00000000-0002-0000-0800-000009000000}"/>
    <dataValidation allowBlank="1" showInputMessage="1" showErrorMessage="1" prompt="Suivez les absences du mois de septembre dans cette feuille de calcul" sqref="A1" xr:uid="{00000000-0002-0000-0800-00000A000000}"/>
    <dataValidation allowBlank="1" showInputMessage="1" showErrorMessage="1" prompt="Calcule automatiquement le nombre total de jours d’absence d’un employé durant ce mois dans cette colonne" sqref="AH6" xr:uid="{00000000-0002-0000-0800-00000B000000}"/>
    <dataValidation allowBlank="1" showInputMessage="1" showErrorMessage="1" prompt="Année mise à jour automatiquement en fonction de l’année entrée dans la feuille de calcul Janvier" sqref="AH4" xr:uid="{00000000-0002-0000-0800-00000C000000}"/>
    <dataValidation allowBlank="1" showInputMessage="1" showErrorMessage="1" prompt="Les jours de la semaine dans cette ligne sont mis à jour automatiquement pour le mois en fonction de l’année dans AH4. Chaque jour du mois est une colonne dans laquelle noter l’absence et le motif d’absence d’un employé" sqref="C5" xr:uid="{00000000-0002-0000-0800-00000D000000}"/>
  </dataValidations>
  <pageMargins left="0.7" right="0.7" top="0.75" bottom="0.75" header="0.3" footer="0.3"/>
  <pageSetup paperSize="9" fitToHeight="0" orientation="portrait"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A021984-06A1-41D9-90D2-8C16E885020B}">
            <x14:dataBar minLength="0" maxLength="100">
              <x14:cfvo type="autoMin"/>
              <x14:cfvo type="formula">
                <xm:f>DATEDIF(DATE(AnnéeCalendrier,2,1),DATE(AnnéeCalendrier,3,1),"d")</xm:f>
              </x14:cfvo>
              <x14:negativeFillColor rgb="FFFF0000"/>
              <x14:axisColor rgb="FF000000"/>
            </x14:dataBar>
          </x14:cfRule>
          <xm:sqref>AH7:AH11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E000000}">
          <x14:formula1>
            <xm:f>'Noms des employés'!$B$4:$B$8</xm:f>
          </x14:formula1>
          <xm:sqref>B7:B11</xm:sqref>
        </x14:dataValidation>
      </x14:dataValidations>
    </ext>
  </extLst>
</worksheet>
</file>

<file path=docProps/app.xml><?xml version="1.0" encoding="utf-8"?>
<Properties xmlns="http://schemas.openxmlformats.org/officeDocument/2006/extended-properties" xmlns:vt="http://schemas.openxmlformats.org/officeDocument/2006/docPropsVTypes">
  <Template>TM03987167</Templat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50</vt:i4>
      </vt:variant>
    </vt:vector>
  </HeadingPairs>
  <TitlesOfParts>
    <vt:vector size="63" baseType="lpstr">
      <vt:lpstr>Janvier</vt:lpstr>
      <vt:lpstr>Février</vt:lpstr>
      <vt:lpstr>Mars</vt:lpstr>
      <vt:lpstr>Avril</vt:lpstr>
      <vt:lpstr>Mai</vt:lpstr>
      <vt:lpstr>Juin</vt:lpstr>
      <vt:lpstr>Juillet</vt:lpstr>
      <vt:lpstr>Août</vt:lpstr>
      <vt:lpstr>Septembre</vt:lpstr>
      <vt:lpstr>Octobre</vt:lpstr>
      <vt:lpstr>Novembre</vt:lpstr>
      <vt:lpstr>Décembre</vt:lpstr>
      <vt:lpstr>Noms des employés</vt:lpstr>
      <vt:lpstr>AnnéeCalendrier</vt:lpstr>
      <vt:lpstr>CléCongé</vt:lpstr>
      <vt:lpstr>CléMaladie</vt:lpstr>
      <vt:lpstr>CléPersonnalisée1</vt:lpstr>
      <vt:lpstr>CléPersonnalisée2</vt:lpstr>
      <vt:lpstr>CléPersonnel</vt:lpstr>
      <vt:lpstr>ÉtiquetteCléCongé</vt:lpstr>
      <vt:lpstr>ÉtiquetteCléMaladie</vt:lpstr>
      <vt:lpstr>ÉtiquetteCléPersonnalisée1</vt:lpstr>
      <vt:lpstr>ÉtiquetteCléPersonnalisée2</vt:lpstr>
      <vt:lpstr>ÉtiquetteCléPersonnel</vt:lpstr>
      <vt:lpstr>Nom_clé</vt:lpstr>
      <vt:lpstr>Août!NomMois</vt:lpstr>
      <vt:lpstr>Avril!NomMois</vt:lpstr>
      <vt:lpstr>Décembre!NomMois</vt:lpstr>
      <vt:lpstr>Février!NomMois</vt:lpstr>
      <vt:lpstr>Janvier!NomMois</vt:lpstr>
      <vt:lpstr>Juillet!NomMois</vt:lpstr>
      <vt:lpstr>Juin!NomMois</vt:lpstr>
      <vt:lpstr>Mai!NomMois</vt:lpstr>
      <vt:lpstr>Mars!NomMois</vt:lpstr>
      <vt:lpstr>Novembre!NomMois</vt:lpstr>
      <vt:lpstr>Octobre!NomMois</vt:lpstr>
      <vt:lpstr>Septembre!NomMois</vt:lpstr>
      <vt:lpstr>Août!Titoli_stampa</vt:lpstr>
      <vt:lpstr>Avril!Titoli_stampa</vt:lpstr>
      <vt:lpstr>Décembre!Titoli_stampa</vt:lpstr>
      <vt:lpstr>Février!Titoli_stampa</vt:lpstr>
      <vt:lpstr>Janvier!Titoli_stampa</vt:lpstr>
      <vt:lpstr>Juillet!Titoli_stampa</vt:lpstr>
      <vt:lpstr>Juin!Titoli_stampa</vt:lpstr>
      <vt:lpstr>Mai!Titoli_stampa</vt:lpstr>
      <vt:lpstr>Mars!Titoli_stampa</vt:lpstr>
      <vt:lpstr>Novembre!Titoli_stampa</vt:lpstr>
      <vt:lpstr>Octobre!Titoli_stampa</vt:lpstr>
      <vt:lpstr>Septembre!Titoli_stampa</vt:lpstr>
      <vt:lpstr>Titre_Absence_Employé</vt:lpstr>
      <vt:lpstr>Titre1</vt:lpstr>
      <vt:lpstr>Titre10</vt:lpstr>
      <vt:lpstr>Titre11</vt:lpstr>
      <vt:lpstr>Titre12</vt:lpstr>
      <vt:lpstr>Titre2</vt:lpstr>
      <vt:lpstr>Titre3</vt:lpstr>
      <vt:lpstr>Titre4</vt:lpstr>
      <vt:lpstr>Titre5</vt:lpstr>
      <vt:lpstr>Titre6</vt:lpstr>
      <vt:lpstr>Titre7</vt:lpstr>
      <vt:lpstr>Titre8</vt:lpstr>
      <vt:lpstr>Titre9</vt:lpstr>
      <vt:lpstr>TitreColonne13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agruban</dc:creator>
  <cp:lastModifiedBy>agruban</cp:lastModifiedBy>
  <cp:lastPrinted>2023-03-25T13:18:15Z</cp:lastPrinted>
  <dcterms:created xsi:type="dcterms:W3CDTF">2016-12-06T04:52:27Z</dcterms:created>
  <dcterms:modified xsi:type="dcterms:W3CDTF">2023-03-25T13:18:17Z</dcterms:modified>
</cp:coreProperties>
</file>